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<sst xmlns="http://schemas.openxmlformats.org/spreadsheetml/2006/main" count="121" uniqueCount="108">
  <si>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Southwest Airlines Co. (LUV)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</si>
  <si>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</si>
  <si>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</si>
  <si>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</si>
  <si>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</si>
  <si>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</si>
  <si>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</si>
  <si>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</si>
  <si>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</si>
  <si>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</si>
  <si>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</si>
  <si>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</si>
  <si>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</si>
  <si>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</si>
  <si>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</si>
  <si>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</si>
  <si>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</si>
  <si>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</si>
  <si>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</si>
  <si>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</si>
  <si>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</si>
  <si>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</si>
  <si>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</si>
  <si>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</si>
  <si>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3.8x interest cover. Book interest / average debt was lower, at 1.6%.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</si>
  <si>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</si>
  <si>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</si>
  <si>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</si>
  <si>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</si>
  <si>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</si>
  <si>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</si>
  <si>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</si>
  <si>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</si>
  <si>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</si>
  <si>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</si>
  <si>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</si>
  <si>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</si>
  <si>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</si>
  <si>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</si>
  <si>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</si>
  <si>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</si>
  <si>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</si>
  <si>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</si>
  <si>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</si>
  <si>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</si>
  <si>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</si>
  <si>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</si>
  <si>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</si>
  <si>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</si>
  <si>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</si>
  <si>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</si>
  <si>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</si>
  <si>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</si>
  <si>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</si>
  <si>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</si>
  <si>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</si>
  <si>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</si>
  <si>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</si>
  <si>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</si>
  <si>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</si>
  <si>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</si>
  <si>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</si>
  <si>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</si>
  <si>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</si>
  <si>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</si>
  <si>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</si>
  <si>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</si>
  <si>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</si>
  <si>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</si>
  <si>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</si>
  <si>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</si>
  <si>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</si>
  <si>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</si>
  <si>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</si>
  <si>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</si>
  <si>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</si>
  <si>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</si>
  <si>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</si>
  <si>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</si>
  <si>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</si>
  <si>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</si>
  <si>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</si>
  <si>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</si>
  <si>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</si>
  <si>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</si>
  <si>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</si>
  <si>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</si>
  <si>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</si>
  <si>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</si>
  <si>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</si>
  <si>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</si>
  <si>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</si>
  <si>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</si>
  <si>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</si>
  <si>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</si>
  <si>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</si>
  <si>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</si>
  <si>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</si>
  <si>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</si>
  <si>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</si>
  <si>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</si>
  <si>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</si>
  <si>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</si>
  <si>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</si>
  <si>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</si>
  <si>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</si>
  <si>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11.8% of revenue against depreciation of 5.8%.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</si>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</sst>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0.19527837330292552</v>
      </c>
    </row>
    <row r="7" spans="1:2" x14ac:dyDescent="0.25">
      <c r="A7" t="s">
        <v>4</v>
      </c>
      <c r="B7" s="5">
        <v>0.01955566336493657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0.05773666319462893</v>
      </c>
    </row>
    <row r="10" spans="1:3" x14ac:dyDescent="0.25">
      <c r="A10" t="s">
        <v>7</v>
      </c>
      <c r="B10" s="5">
        <v>0.11765008840911831</v>
      </c>
      <c r="C10" s="6" t="s">
        <v>8</v>
      </c>
    </row>
    <row r="11" spans="1:2" x14ac:dyDescent="0.25">
      <c r="A11" t="s">
        <v>9</v>
      </c>
      <c r="B11" s="5">
        <v>0.021621824726034765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11.830221971830985</v>
      </c>
    </row>
    <row r="14" spans="1:3" x14ac:dyDescent="0.25">
      <c r="A14" t="s">
        <v>12</v>
      </c>
      <c r="B14" s="5">
        <v>0.08446678112258536</v>
      </c>
      <c r="C14" s="6" t="s">
        <v>13</v>
      </c>
    </row>
    <row r="15" spans="1:3" x14ac:dyDescent="0.25">
      <c r="A15" t="s">
        <v>14</v>
      </c>
      <c r="B15" s="5">
        <v>0.05773666319462893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1.10385</v>
      </c>
      <c r="C19" s="6" t="s">
        <v>21</v>
      </c>
    </row>
    <row r="20" spans="1:2" x14ac:dyDescent="0.25">
      <c r="A20" t="s">
        <v>22</v>
      </c>
      <c r="B20" s="9">
        <f>B17+B19*B18</f>
        <v>0.095632855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20768481280</v>
      </c>
    </row>
    <row r="23" spans="1:2" x14ac:dyDescent="0.25">
      <c r="A23" t="s">
        <v>26</v>
      </c>
      <c r="B23" s="10">
        <v>5981000000</v>
      </c>
    </row>
    <row r="24" spans="1:2" x14ac:dyDescent="0.25">
      <c r="A24" t="s">
        <v>27</v>
      </c>
      <c r="B24" s="9">
        <f>B22/(B22+B23)</f>
        <v>0.7764068791692098</v>
      </c>
    </row>
    <row r="25" spans="1:2" x14ac:dyDescent="0.25">
      <c r="A25" t="s">
        <v>28</v>
      </c>
      <c r="B25" s="9">
        <f>1-B24</f>
        <v>0.2235931208307902</v>
      </c>
    </row>
    <row r="26" spans="1:2" x14ac:dyDescent="0.25">
      <c r="A26" t="s">
        <v>29</v>
      </c>
      <c r="B26" s="11">
        <f>B24*B20+B25*B21*(1-B8)</f>
        <v>0.08446678112258536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28063000000</v>
      </c>
      <c r="C29" s="6" t="s">
        <v>32</v>
      </c>
    </row>
    <row r="30" spans="1:2" x14ac:dyDescent="0.25">
      <c r="A30" t="s">
        <v>33</v>
      </c>
      <c r="B30" s="10">
        <v>2750000000</v>
      </c>
    </row>
    <row r="31" spans="1:2" x14ac:dyDescent="0.25">
      <c r="A31" t="s">
        <v>34</v>
      </c>
      <c r="B31" s="12">
        <v>558000000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0.19527837330292552</v>
      </c>
      <c r="C5" s="5">
        <v>0.06526785498228382</v>
      </c>
      <c r="D5" s="5">
        <v>0.06023437310949835</v>
      </c>
      <c r="E5" s="5">
        <v>0.055200891236712867</v>
      </c>
      <c r="F5" s="5">
        <v>0.05016740936392739</v>
      </c>
      <c r="G5" s="5">
        <v>0.04513392749114191</v>
      </c>
      <c r="H5" s="5">
        <v>0.040100445618356434</v>
      </c>
      <c r="I5" s="5">
        <v>0.03506696374557096</v>
      </c>
      <c r="J5" s="5">
        <v>0.030033481872785477</v>
      </c>
      <c r="K5" s="5">
        <v>0.025</v>
      </c>
    </row>
    <row r="6" spans="1:11" x14ac:dyDescent="0.25">
      <c r="A6" t="s">
        <v>50</v>
      </c>
      <c r="B6" s="18">
        <f>Assumptions!B29*(1+B5)</f>
        <v>33543096990</v>
      </c>
      <c r="C6" s="18">
        <f>B6*(1+C5)</f>
        <v>35732382980</v>
      </c>
      <c r="D6" s="18">
        <f>C6*(1+D5)</f>
        <v>37884700668.508804</v>
      </c>
      <c r="E6" s="18">
        <f>D6*(1+E5)</f>
        <v>39975969909.646576</v>
      </c>
      <c r="F6" s="18">
        <f>E6*(1+F5)</f>
        <v>41981460756.82386</v>
      </c>
      <c r="G6" s="18">
        <f>F6*(1+G5)</f>
        <v>43876248962.594574</v>
      </c>
      <c r="H6" s="18">
        <f>G6*(1+H5)</f>
        <v>45635706098.056564</v>
      </c>
      <c r="I6" s="18">
        <f>H6*(1+I5)</f>
        <v>47236011749.300644</v>
      </c>
      <c r="J6" s="18">
        <f>I6*(1+J5)</f>
        <v>48654673651.91595</v>
      </c>
      <c r="K6" s="18">
        <f>J6*(1+K5)</f>
        <v>49871040493.213844</v>
      </c>
    </row>
    <row r="7" spans="1:11" x14ac:dyDescent="0.25">
      <c r="A7" t="s">
        <v>4</v>
      </c>
      <c r="B7" s="9">
        <f>Assumptions!B7</f>
        <v>0.01955566336493657</v>
      </c>
      <c r="C7" s="9">
        <f>Assumptions!B7</f>
        <v>0.01955566336493657</v>
      </c>
      <c r="D7" s="9">
        <f>Assumptions!B7</f>
        <v>0.01955566336493657</v>
      </c>
      <c r="E7" s="9">
        <f>Assumptions!B7</f>
        <v>0.01955566336493657</v>
      </c>
      <c r="F7" s="9">
        <f>Assumptions!B7</f>
        <v>0.01955566336493657</v>
      </c>
      <c r="G7" s="9">
        <f>Assumptions!B7</f>
        <v>0.01955566336493657</v>
      </c>
      <c r="H7" s="9">
        <f>Assumptions!B7</f>
        <v>0.01955566336493657</v>
      </c>
      <c r="I7" s="9">
        <f>Assumptions!B7</f>
        <v>0.01955566336493657</v>
      </c>
      <c r="J7" s="9">
        <f>Assumptions!B7</f>
        <v>0.01955566336493657</v>
      </c>
      <c r="K7" s="9">
        <f>Assumptions!B7</f>
        <v>0.01955566336493657</v>
      </c>
    </row>
    <row r="8" spans="1:11" x14ac:dyDescent="0.25">
      <c r="A8" t="s">
        <v>51</v>
      </c>
      <c r="B8" s="18">
        <f>B6*B7</f>
        <v>655957512.9538572</v>
      </c>
      <c r="C8" s="18">
        <f>C6*C7</f>
        <v>698770452.783869</v>
      </c>
      <c r="D8" s="18">
        <f>D6*D7</f>
        <v>740860452.9547457</v>
      </c>
      <c r="E8" s="18">
        <f>E6*E7</f>
        <v>781756610.2398822</v>
      </c>
      <c r="F8" s="18">
        <f>F6*F7</f>
        <v>820975314.1287427</v>
      </c>
      <c r="G8" s="18">
        <f>G6*G7</f>
        <v>858029154.4286469</v>
      </c>
      <c r="H8" s="18">
        <f>H6*H7</f>
        <v>892436505.8747772</v>
      </c>
      <c r="I8" s="18">
        <f>I6*I7</f>
        <v>923731544.4715121</v>
      </c>
      <c r="J8" s="18">
        <f>J6*J7</f>
        <v>951474419.0677173</v>
      </c>
      <c r="K8" s="18">
        <f>K6*K7</f>
        <v>975261279.5444102</v>
      </c>
    </row>
    <row r="9" spans="1:11" x14ac:dyDescent="0.25">
      <c r="A9" t="s">
        <v>52</v>
      </c>
      <c r="B9" s="18">
        <f>B8*(1-Assumptions!B8)</f>
        <v>518206435.2335472</v>
      </c>
      <c r="C9" s="18">
        <f>C8*(1-Assumptions!B8)</f>
        <v>552028657.6992565</v>
      </c>
      <c r="D9" s="18">
        <f>D8*(1-Assumptions!B8)</f>
        <v>585279757.8342491</v>
      </c>
      <c r="E9" s="18">
        <f>E8*(1-Assumptions!B8)</f>
        <v>617587722.089507</v>
      </c>
      <c r="F9" s="18">
        <f>F8*(1-Assumptions!B8)</f>
        <v>648570498.1617068</v>
      </c>
      <c r="G9" s="18">
        <f>G8*(1-Assumptions!B8)</f>
        <v>677843031.9986311</v>
      </c>
      <c r="H9" s="18">
        <f>H8*(1-Assumptions!B8)</f>
        <v>705024839.6410741</v>
      </c>
      <c r="I9" s="18">
        <f>I8*(1-Assumptions!B8)</f>
        <v>729747920.1324946</v>
      </c>
      <c r="J9" s="18">
        <f>J8*(1-Assumptions!B8)</f>
        <v>751664791.0634967</v>
      </c>
      <c r="K9" s="18">
        <f>K8*(1-Assumptions!B8)</f>
        <v>770456410.8400841</v>
      </c>
    </row>
    <row r="10" spans="1:11" x14ac:dyDescent="0.25">
      <c r="A10" t="s">
        <v>53</v>
      </c>
      <c r="B10" s="18">
        <f>B6*Assumptions!B9</f>
        <v>1936666493.4164014</v>
      </c>
      <c r="C10" s="18">
        <f>C6*Assumptions!B9</f>
        <v>2063068561.2577512</v>
      </c>
      <c r="D10" s="18">
        <f>D6*Assumptions!B9</f>
        <v>2187336202.7270265</v>
      </c>
      <c r="E10" s="18">
        <f>E6*Assumptions!B9</f>
        <v>2308079110.551885</v>
      </c>
      <c r="F10" s="18">
        <f>F6*Assumptions!B9</f>
        <v>2423869460.135271</v>
      </c>
      <c r="G10" s="18">
        <f>G6*Assumptions!B9</f>
        <v>2533268208.59701</v>
      </c>
      <c r="H10" s="18">
        <f>H6*Assumptions!B9</f>
        <v>2634853392.6325655</v>
      </c>
      <c r="I10" s="18">
        <f>I6*Assumptions!B9</f>
        <v>2727249701.0269065</v>
      </c>
      <c r="J10" s="18">
        <f>J6*Assumptions!B9</f>
        <v>2809158505.4852576</v>
      </c>
      <c r="K10" s="18">
        <f>K6*Assumptions!B9</f>
        <v>2879387468.122389</v>
      </c>
    </row>
    <row r="11" spans="1:11" x14ac:dyDescent="0.25">
      <c r="A11" t="s">
        <v>54</v>
      </c>
      <c r="B11" s="18">
        <f>-B6*B19</f>
        <v>-3946348326.38913</v>
      </c>
      <c r="C11" s="18">
        <f>-C6*C19</f>
        <v>-3984199890.394113</v>
      </c>
      <c r="D11" s="18">
        <f>-D6*D19</f>
        <v>-3991232963.266824</v>
      </c>
      <c r="E11" s="18">
        <f>-E6*E19</f>
        <v>-3965740672.9036613</v>
      </c>
      <c r="F11" s="18">
        <f>-F6*F19</f>
        <v>-3906547955.0351086</v>
      </c>
      <c r="G11" s="18">
        <f>-G6*G19</f>
        <v>-3813071116.5954814</v>
      </c>
      <c r="H11" s="18">
        <f>-H6*H19</f>
        <v>-3685363389.6447535</v>
      </c>
      <c r="I11" s="18">
        <f>-I6*I19</f>
        <v>-3524144049.9552317</v>
      </c>
      <c r="J11" s="18">
        <f>-J6*J19</f>
        <v>-3330809182.0726385</v>
      </c>
      <c r="K11" s="18">
        <f>-K6*K19</f>
        <v>-3107422797.6923447</v>
      </c>
    </row>
    <row r="12" spans="1:11" x14ac:dyDescent="0.25">
      <c r="A12" t="s">
        <v>55</v>
      </c>
      <c r="B12" s="18">
        <f>-(B6-Assumptions!B29)*Assumptions!B11</f>
        <v>-118489696.59945069</v>
      </c>
      <c r="C12" s="18">
        <f>-(C6-B6)*Assumptions!B11</f>
        <v>-47336357.9509435</v>
      </c>
      <c r="D12" s="18">
        <f>-(D6-C6)*Assumptions!B11</f>
        <v>-46537035.81568166</v>
      </c>
      <c r="E12" s="18">
        <f>-(E6-D6)*Assumptions!B11</f>
        <v>-45217056.98682863</v>
      </c>
      <c r="F12" s="18">
        <f>-(F6-E6)*Assumptions!B11</f>
        <v>-43362371.587334216</v>
      </c>
      <c r="G12" s="18">
        <f>-(G6-F6)*Assumptions!B11</f>
        <v>-40968778.47813227</v>
      </c>
      <c r="H12" s="18">
        <f>-(H6-G6)*Assumptions!B11</f>
        <v>-38042673.79593036</v>
      </c>
      <c r="I12" s="18">
        <f>-(I6-H6)*Assumptions!B11</f>
        <v>-34601528.29928241</v>
      </c>
      <c r="J12" s="18">
        <f>-(J6-I6)*Assumptions!B11</f>
        <v>-30674059.003851082</v>
      </c>
      <c r="K12" s="18">
        <f>-(K6-J6)*Assumptions!B11</f>
        <v>-26300070.64510368</v>
      </c>
    </row>
    <row r="13" spans="1:11" x14ac:dyDescent="0.25">
      <c r="A13" s="19" t="s">
        <v>56</v>
      </c>
      <c r="B13" s="20">
        <f>B9+B10+B11+B12</f>
        <v>-1609965094.338632</v>
      </c>
      <c r="C13" s="20">
        <f>C9+C10+C11+C12</f>
        <v>-1416439029.3880486</v>
      </c>
      <c r="D13" s="20">
        <f>D9+D10+D11+D12</f>
        <v>-1265154038.52123</v>
      </c>
      <c r="E13" s="20">
        <f>E9+E10+E11+E12</f>
        <v>-1085290897.2490976</v>
      </c>
      <c r="F13" s="20">
        <f>F9+F10+F11+F12</f>
        <v>-877470368.3254647</v>
      </c>
      <c r="G13" s="20">
        <f>G9+G10+G11+G12</f>
        <v>-642928654.4779725</v>
      </c>
      <c r="H13" s="20">
        <f>H9+H10+H11+H12</f>
        <v>-383527831.16704416</v>
      </c>
      <c r="I13" s="20">
        <f>I9+I10+I11+I12</f>
        <v>-101747957.09511313</v>
      </c>
      <c r="J13" s="20">
        <f>J9+J10+J11+J12</f>
        <v>199340055.47226462</v>
      </c>
      <c r="K13" s="20">
        <f>K9+K10+K11+K12</f>
        <v>516121010.62502456</v>
      </c>
    </row>
    <row r="14" spans="1:11" x14ac:dyDescent="0.25">
      <c r="A14" t="s">
        <v>57</v>
      </c>
      <c r="B14" s="21">
        <f>1/(1+Assumptions!$B$26)^(1-0.5*Assumptions!$B$32)</f>
        <v>0.9602667100744933</v>
      </c>
      <c r="C14" s="21">
        <f>1/(1+Assumptions!$B$26)^(2-0.5*Assumptions!$B$32)</f>
        <v>0.8854736048996111</v>
      </c>
      <c r="D14" s="21">
        <f>1/(1+Assumptions!$B$26)^(3-0.5*Assumptions!$B$32)</f>
        <v>0.8165059735467539</v>
      </c>
      <c r="E14" s="21">
        <f>1/(1+Assumptions!$B$26)^(4-0.5*Assumptions!$B$32)</f>
        <v>0.7529100824107752</v>
      </c>
      <c r="F14" s="21">
        <f>1/(1+Assumptions!$B$26)^(5-0.5*Assumptions!$B$32)</f>
        <v>0.6942675382194747</v>
      </c>
      <c r="G14" s="21">
        <f>1/(1+Assumptions!$B$26)^(6-0.5*Assumptions!$B$32)</f>
        <v>0.6401925354512047</v>
      </c>
      <c r="H14" s="21">
        <f>1/(1+Assumptions!$B$26)^(7-0.5*Assumptions!$B$32)</f>
        <v>0.5903293181451899</v>
      </c>
      <c r="I14" s="21">
        <f>1/(1+Assumptions!$B$26)^(8-0.5*Assumptions!$B$32)</f>
        <v>0.5443498394059711</v>
      </c>
      <c r="J14" s="21">
        <f>1/(1+Assumptions!$B$26)^(9-0.5*Assumptions!$B$32)</f>
        <v>0.5019516032040074</v>
      </c>
      <c r="K14" s="21">
        <f>1/(1+Assumptions!$B$26)^(10-0.5*Assumptions!$B$32)</f>
        <v>0.46285567427377755</v>
      </c>
    </row>
    <row r="15" spans="1:11" x14ac:dyDescent="0.25">
      <c r="A15" s="19" t="s">
        <v>58</v>
      </c>
      <c r="B15" s="20">
        <f>B13*B14</f>
        <v>-1545995884.4753294</v>
      </c>
      <c r="C15" s="20">
        <f>C13*C14</f>
        <v>-1254219373.4727416</v>
      </c>
      <c r="D15" s="20">
        <f>D13*D14</f>
        <v>-1033005829.9093843</v>
      </c>
      <c r="E15" s="20">
        <f>E13*E14</f>
        <v>-817126458.8874822</v>
      </c>
      <c r="F15" s="20">
        <f>F13*F14</f>
        <v>-609199192.4778562</v>
      </c>
      <c r="G15" s="20">
        <f>G13*G14</f>
        <v>-411598125.4244847</v>
      </c>
      <c r="H15" s="20">
        <f>H13*H14</f>
        <v>-226407723.06254467</v>
      </c>
      <c r="I15" s="20">
        <f>I13*I14</f>
        <v>-55386484.10461047</v>
      </c>
      <c r="J15" s="20">
        <f>J13*J14</f>
        <v>100059060.427079</v>
      </c>
      <c r="K15" s="20">
        <f>K13*K14</f>
        <v>238889538.37970924</v>
      </c>
    </row>
    <row r="17" spans="1:2" x14ac:dyDescent="0.25">
      <c r="A17" s="22" t="s">
        <v>59</v>
      </c>
      <c r="B17" s="23">
        <f>SUM(B15:K15)</f>
        <v>-5613990473.007645</v>
      </c>
    </row>
    <row r="19" spans="1:11" x14ac:dyDescent="0.25">
      <c r="A19" t="s">
        <v>7</v>
      </c>
      <c r="B19" s="9">
        <f>Assumptions!$B$10+($B$20-Assumptions!$B$10)*0/9</f>
        <v>0.11765008840911831</v>
      </c>
      <c r="C19" s="9">
        <f>Assumptions!$B$10+($B$20-Assumptions!$B$10)*1/9</f>
        <v>0.11150109671174561</v>
      </c>
      <c r="D19" s="9">
        <f>Assumptions!$B$10+($B$20-Assumptions!$B$10)*2/9</f>
        <v>0.10535210501437292</v>
      </c>
      <c r="E19" s="9">
        <f>Assumptions!$B$10+($B$20-Assumptions!$B$10)*3/9</f>
        <v>0.09920311331700024</v>
      </c>
      <c r="F19" s="9">
        <f>Assumptions!$B$10+($B$20-Assumptions!$B$10)*4/9</f>
        <v>0.09305412161962755</v>
      </c>
      <c r="G19" s="9">
        <f>Assumptions!$B$10+($B$20-Assumptions!$B$10)*5/9</f>
        <v>0.08690512992225485</v>
      </c>
      <c r="H19" s="9">
        <f>Assumptions!$B$10+($B$20-Assumptions!$B$10)*6/9</f>
        <v>0.08075613822488216</v>
      </c>
      <c r="I19" s="9">
        <f>Assumptions!$B$10+($B$20-Assumptions!$B$10)*7/9</f>
        <v>0.07460714652750947</v>
      </c>
      <c r="J19" s="9">
        <f>Assumptions!$B$10+($B$20-Assumptions!$B$10)*8/9</f>
        <v>0.06845815483013679</v>
      </c>
      <c r="K19" s="9">
        <f>Assumptions!$B$10+($B$20-Assumptions!$B$10)*9/9</f>
        <v>0.062309163132764085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0.062309163132764085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516121010.62502456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770456410.8400841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0.29597434243075843</v>
      </c>
    </row>
    <row r="7" spans="1:2" x14ac:dyDescent="0.25">
      <c r="A7" t="s">
        <v>66</v>
      </c>
      <c r="B7" s="18">
        <f>-MAX(B5,0)*B6</f>
        <v>-228035329.56995615</v>
      </c>
    </row>
    <row r="8" spans="1:2" x14ac:dyDescent="0.25">
      <c r="A8" t="s">
        <v>67</v>
      </c>
      <c r="B8" s="18">
        <f>IF(OR(Assumptions!$B$33=0,Assumptions!B12&lt;=0),B5,MAX(B5+B7,0))</f>
        <v>542421081.2701279</v>
      </c>
    </row>
    <row r="9" spans="1:2" x14ac:dyDescent="0.25">
      <c r="A9" t="s">
        <v>68</v>
      </c>
      <c r="B9" s="18">
        <f>B8*(1+Assumptions!B12)/(Assumptions!B26-Assumptions!B12)</f>
        <v>9349448512.3682</v>
      </c>
    </row>
    <row r="10" spans="1:2" x14ac:dyDescent="0.25">
      <c r="A10" t="s">
        <v>69</v>
      </c>
      <c r="B10" s="18">
        <f>B9/(1+Assumptions!B26)^(10-0.5*Assumptions!B32)</f>
        <v>4327445295.280149</v>
      </c>
    </row>
    <row r="11" spans="1:2" x14ac:dyDescent="0.25">
      <c r="A11" t="s">
        <v>70</v>
      </c>
      <c r="B11" s="18">
        <f>Forecast!B17+B10</f>
        <v>-1286545177.7274952</v>
      </c>
    </row>
    <row r="12" spans="1:2" x14ac:dyDescent="0.25">
      <c r="A12" t="s">
        <v>71</v>
      </c>
      <c r="B12" s="18">
        <f>-Assumptions!B30</f>
        <v>-2750000000</v>
      </c>
    </row>
    <row r="13" spans="1:2" x14ac:dyDescent="0.25">
      <c r="A13" t="s">
        <v>72</v>
      </c>
      <c r="B13" s="18">
        <f>B11+B12</f>
        <v>-4036545177.727495</v>
      </c>
    </row>
    <row r="14" spans="1:2" x14ac:dyDescent="0.25">
      <c r="A14" s="19" t="s">
        <v>73</v>
      </c>
      <c r="B14" s="24">
        <f>B13/Assumptions!B31</f>
        <v>-7.233951931411282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3854648747.666799</v>
      </c>
    </row>
    <row r="18" spans="1:2" x14ac:dyDescent="0.25">
      <c r="A18" t="s">
        <v>68</v>
      </c>
      <c r="B18" s="18">
        <f>B17*Assumptions!B13</f>
        <v>45601350308.338554</v>
      </c>
    </row>
    <row r="19" spans="1:2" x14ac:dyDescent="0.25">
      <c r="A19" t="s">
        <v>69</v>
      </c>
      <c r="B19" s="18">
        <f>B18/(1+Assumptions!B26)^(10-0.5*Assumptions!B32)</f>
        <v>21106843744.760777</v>
      </c>
    </row>
    <row r="20" spans="1:2" x14ac:dyDescent="0.25">
      <c r="A20" t="s">
        <v>70</v>
      </c>
      <c r="B20" s="18">
        <f>Forecast!B17+B19</f>
        <v>15492853271.753132</v>
      </c>
    </row>
    <row r="21" spans="1:2" x14ac:dyDescent="0.25">
      <c r="A21" t="s">
        <v>71</v>
      </c>
      <c r="B21" s="18">
        <f>-Assumptions!B30</f>
        <v>-2750000000</v>
      </c>
    </row>
    <row r="22" spans="1:2" x14ac:dyDescent="0.25">
      <c r="A22" t="s">
        <v>72</v>
      </c>
      <c r="B22" s="18">
        <f>B20+B21</f>
        <v>12742853271.753132</v>
      </c>
    </row>
    <row r="23" spans="1:2" x14ac:dyDescent="0.25">
      <c r="A23" s="19" t="s">
        <v>73</v>
      </c>
      <c r="B23" s="25">
        <f>B22/Assumptions!B31</f>
        <v>22.83665460887658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42.43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-7.233951931411282</v>
      </c>
    </row>
    <row r="29" spans="1:2" x14ac:dyDescent="0.25">
      <c r="A29" s="19" t="s">
        <v>81</v>
      </c>
      <c r="B29" s="11">
        <f>B28/B26-1</f>
        <v>-1.1704914431159859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0.064467</v>
      </c>
      <c r="B5" s="31">
        <v>-3.1241551527084126</v>
      </c>
      <c r="C5" s="31">
        <v>-3.385255476401339</v>
      </c>
      <c r="D5" s="31">
        <v>-3.646355800094273</v>
      </c>
      <c r="E5" s="31">
        <v>-3.907456123787203</v>
      </c>
      <c r="F5" s="31">
        <v>-4.168556447480128</v>
      </c>
    </row>
    <row r="6" spans="1:6" x14ac:dyDescent="0.25">
      <c r="A6" s="30">
        <v>0.074467</v>
      </c>
      <c r="B6" s="31">
        <v>-5.309530637332482</v>
      </c>
      <c r="C6" s="31">
        <v>-5.52310571995522</v>
      </c>
      <c r="D6" s="31">
        <v>-5.736680802577962</v>
      </c>
      <c r="E6" s="31">
        <v>-5.950255885200704</v>
      </c>
      <c r="F6" s="31">
        <v>-6.1638309678234435</v>
      </c>
    </row>
    <row r="7" spans="1:6" x14ac:dyDescent="0.25">
      <c r="A7" s="30">
        <v>0.084467</v>
      </c>
      <c r="B7" s="31">
        <v>-6.877853454993956</v>
      </c>
      <c r="C7" s="31">
        <v>-7.055916630989166</v>
      </c>
      <c r="D7" s="32">
        <v>-7.233979806984379</v>
      </c>
      <c r="E7" s="31">
        <v>-7.412042982979583</v>
      </c>
      <c r="F7" s="31">
        <v>-7.590106158974801</v>
      </c>
    </row>
    <row r="8" spans="1:6" x14ac:dyDescent="0.25">
      <c r="A8" s="30">
        <v>0.094467</v>
      </c>
      <c r="B8" s="31">
        <v>-8.031934580291365</v>
      </c>
      <c r="C8" s="31">
        <v>-8.182629299379474</v>
      </c>
      <c r="D8" s="31">
        <v>-8.333324018467593</v>
      </c>
      <c r="E8" s="31">
        <v>-8.484018737555699</v>
      </c>
      <c r="F8" s="31">
        <v>-8.634713456643818</v>
      </c>
    </row>
    <row r="9" spans="1:6" x14ac:dyDescent="0.25">
      <c r="A9" s="30">
        <v>0.104467</v>
      </c>
      <c r="B9" s="31">
        <v>-8.89638076264499</v>
      </c>
      <c r="C9" s="31">
        <v>-9.02546684708823</v>
      </c>
      <c r="D9" s="31">
        <v>-9.154552931531478</v>
      </c>
      <c r="E9" s="31">
        <v>-9.283639015974723</v>
      </c>
      <c r="F9" s="31">
        <v>-9.41272510041796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28063000000</v>
      </c>
      <c r="C5" s="18">
        <v>27483000000</v>
      </c>
      <c r="D5" s="18">
        <v>26091000000</v>
      </c>
      <c r="E5" s="18">
        <v>23814000000</v>
      </c>
      <c r="F5" s="6" t="s">
        <v>91</v>
      </c>
    </row>
    <row r="6" spans="1:6" x14ac:dyDescent="0.25">
      <c r="A6" t="s">
        <v>51</v>
      </c>
      <c r="B6" s="18">
        <v>428000000</v>
      </c>
      <c r="C6" s="18">
        <v>321000000</v>
      </c>
      <c r="D6" s="18">
        <v>224000000</v>
      </c>
      <c r="E6" s="18">
        <v>1017000000</v>
      </c>
      <c r="F6" s="6" t="s">
        <v>92</v>
      </c>
    </row>
    <row r="7" spans="1:6" x14ac:dyDescent="0.25">
      <c r="A7" t="s">
        <v>93</v>
      </c>
      <c r="B7" s="18">
        <v>1560000000</v>
      </c>
      <c r="C7" s="18">
        <v>1657000000</v>
      </c>
      <c r="D7" s="18">
        <v>1522000000</v>
      </c>
      <c r="E7" s="18">
        <v>1351000000</v>
      </c>
      <c r="F7" s="6" t="s">
        <v>94</v>
      </c>
    </row>
    <row r="8" spans="1:6" x14ac:dyDescent="0.25">
      <c r="A8" t="s">
        <v>95</v>
      </c>
      <c r="B8" s="18">
        <v>2673000000</v>
      </c>
      <c r="C8" s="18">
        <v>2054000000</v>
      </c>
      <c r="D8" s="18">
        <v>3520000000</v>
      </c>
      <c r="E8" s="18">
        <v>3946000000</v>
      </c>
      <c r="F8" s="6" t="s">
        <v>96</v>
      </c>
    </row>
    <row r="9" spans="1:6" x14ac:dyDescent="0.25">
      <c r="A9" t="s">
        <v>97</v>
      </c>
      <c r="B9" s="18">
        <v>413000000</v>
      </c>
      <c r="C9" s="18">
        <v>1586000000</v>
      </c>
      <c r="D9" s="18">
        <v>-1249000000</v>
      </c>
      <c r="E9" s="18">
        <v>-1483000000</v>
      </c>
      <c r="F9" s="6" t="s">
        <v>98</v>
      </c>
    </row>
    <row r="10" spans="1:6" x14ac:dyDescent="0.25">
      <c r="A10" t="s">
        <v>99</v>
      </c>
      <c r="B10" s="18">
        <v>5981000000</v>
      </c>
      <c r="C10" s="18">
        <v>8058000000</v>
      </c>
      <c r="D10" s="18">
        <v>9200000000</v>
      </c>
      <c r="E10" s="18">
        <v>9431000000</v>
      </c>
      <c r="F10" s="6" t="s">
        <v>100</v>
      </c>
    </row>
    <row r="11" spans="1:6" x14ac:dyDescent="0.25">
      <c r="A11" t="s">
        <v>101</v>
      </c>
      <c r="B11" s="18">
        <v>3231000000</v>
      </c>
      <c r="C11" s="18">
        <v>8725000000</v>
      </c>
      <c r="D11" s="18">
        <v>11474000000</v>
      </c>
      <c r="E11" s="18">
        <v>12292000000</v>
      </c>
      <c r="F11" s="6" t="s">
        <v>102</v>
      </c>
    </row>
    <row r="12" spans="1:6" x14ac:dyDescent="0.25">
      <c r="A12" t="s">
        <v>34</v>
      </c>
      <c r="B12" s="34">
        <v>558000000</v>
      </c>
      <c r="C12" s="34">
        <v>643000000</v>
      </c>
      <c r="D12" s="34">
        <v>640000000</v>
      </c>
      <c r="E12" s="34">
        <v>642000000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