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<sst xmlns="http://schemas.openxmlformats.org/spreadsheetml/2006/main" count="113" uniqueCount="101">
  <si>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Southwest Airlines Co. (LUV)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</si>
  <si>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</si>
  <si>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</si>
  <si>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</si>
  <si>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</si>
  <si>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</si>
  <si>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</si>
  <si>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</si>
  <si>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</si>
  <si>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</si>
  <si>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</si>
  <si>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</si>
  <si>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</si>
  <si>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</si>
  <si>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</si>
  <si>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</si>
  <si>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</si>
  <si>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</si>
  <si>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</si>
  <si>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</si>
  <si>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</si>
  <si>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</si>
  <si>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</si>
  <si>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</si>
  <si>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</si>
  <si>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</si>
  <si>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</si>
  <si>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</si>
  <si>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</si>
  <si>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</si>
  <si>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</si>
  <si>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</si>
  <si>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</si>
  <si>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</si>
  <si>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</si>
  <si>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</si>
  <si>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</si>
  <si>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</si>
  <si>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</si>
  <si>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</si>
  <si>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</si>
  <si>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</si>
  <si>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</si>
  <si>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</si>
  <si>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</si>
  <si>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</si>
  <si>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</si>
  <si>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</si>
  <si>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</si>
  <si>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</si>
  <si>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</si>
  <si>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</si>
  <si>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</si>
  <si>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</si>
  <si>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</si>
  <si>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</si>
  <si>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</si>
  <si>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</si>
  <si>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</si>
  <si>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</si>
  <si>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</si>
  <si>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</si>
  <si>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</si>
  <si>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</si>
  <si>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</si>
  <si>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</si>
  <si>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</si>
  <si>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</si>
  <si>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</si>
  <si>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</si>
  <si>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</si>
  <si>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</si>
  <si>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</si>
  <si>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</si>
  <si>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</si>
  <si>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</si>
  <si>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</si>
  <si>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</si>
  <si>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</si>
  <si>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</si>
  <si>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</si>
  <si>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</si>
  <si>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</si>
  <si>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</si>
  <si>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</si>
  <si>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</si>
  <si>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</si>
  <si>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</si>
  <si>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</si>
  <si>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</si>
  <si>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</si>
  <si>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</si>
  <si>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</si>
  <si>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</si>
  <si>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</si>
  <si>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</si>
  <si>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</si>
  <si>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</si>
  <si>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</si>
  <si>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11.8% of revenue against depreciation of 5.8%.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</si>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</sst>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0.056251281802036646</v>
      </c>
    </row>
    <row r="7" spans="1:2" x14ac:dyDescent="0.25">
      <c r="A7" t="s">
        <v>5</v>
      </c>
      <c r="B7" s="6">
        <v>0.01955566336493657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0.05773666319462893</v>
      </c>
    </row>
    <row r="10" spans="1:2" x14ac:dyDescent="0.25">
      <c r="A10" t="s">
        <v>8</v>
      </c>
      <c r="B10" s="6">
        <v>0.11765008840911831</v>
      </c>
    </row>
    <row r="11" spans="1:2" x14ac:dyDescent="0.25">
      <c r="A11" t="s">
        <v>9</v>
      </c>
      <c r="B11" s="6">
        <v>0.7120689655172414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11.467681674044266</v>
      </c>
    </row>
    <row r="14" spans="1:3" x14ac:dyDescent="0.25">
      <c r="A14" t="s">
        <v>12</v>
      </c>
      <c r="B14" s="6">
        <v>0.09333598288297011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1.0804</v>
      </c>
      <c r="C19" s="8" t="s">
        <v>19</v>
      </c>
    </row>
    <row r="20" spans="1:2" x14ac:dyDescent="0.25">
      <c r="A20" t="s">
        <v>20</v>
      </c>
      <c r="B20" s="10">
        <f>B17+B19*B18</f>
        <v>0.109402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20047751168</v>
      </c>
    </row>
    <row r="23" spans="1:2" x14ac:dyDescent="0.25">
      <c r="A23" t="s">
        <v>24</v>
      </c>
      <c r="B23" s="11">
        <v>5981000000</v>
      </c>
    </row>
    <row r="24" spans="1:2" x14ac:dyDescent="0.25">
      <c r="A24" t="s">
        <v>25</v>
      </c>
      <c r="B24" s="10">
        <f>B22/(B22+B23)</f>
        <v>0.7702156372621864</v>
      </c>
    </row>
    <row r="25" spans="1:2" x14ac:dyDescent="0.25">
      <c r="A25" t="s">
        <v>26</v>
      </c>
      <c r="B25" s="10">
        <f>1-B24</f>
        <v>0.22978436273781355</v>
      </c>
    </row>
    <row r="26" spans="1:2" x14ac:dyDescent="0.25">
      <c r="A26" t="s">
        <v>27</v>
      </c>
      <c r="B26" s="12">
        <f>B24*B20+B25*B21*(1-B8)</f>
        <v>0.09333598288297011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28063000000</v>
      </c>
      <c r="C29" s="8" t="s">
        <v>30</v>
      </c>
    </row>
    <row r="30" spans="1:2" x14ac:dyDescent="0.25">
      <c r="A30" t="s">
        <v>31</v>
      </c>
      <c r="B30" s="11">
        <v>2750000000</v>
      </c>
    </row>
    <row r="31" spans="1:2" x14ac:dyDescent="0.25">
      <c r="A31" t="s">
        <v>32</v>
      </c>
      <c r="B31" s="13">
        <v>558000000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0.056251281802036646</v>
      </c>
      <c r="C5" s="10">
        <f>Assumptions!B6</f>
        <v>0.056251281802036646</v>
      </c>
      <c r="D5" s="10">
        <f>Assumptions!B6</f>
        <v>0.056251281802036646</v>
      </c>
      <c r="E5" s="10">
        <f>Assumptions!B6</f>
        <v>0.056251281802036646</v>
      </c>
      <c r="F5" s="10">
        <f>Assumptions!B6</f>
        <v>0.056251281802036646</v>
      </c>
    </row>
    <row r="6" spans="1:6" x14ac:dyDescent="0.25">
      <c r="A6" t="s">
        <v>43</v>
      </c>
      <c r="B6" s="18">
        <f>Assumptions!B29*(1+B5)</f>
        <v>29641579721.210556</v>
      </c>
      <c r="C6" s="18">
        <f>B6*(1+C5)</f>
        <v>31308956575.165905</v>
      </c>
      <c r="D6" s="18">
        <f>C6*(1+D5)</f>
        <v>33070125514.40329</v>
      </c>
      <c r="E6" s="18">
        <f>D6*(1+E5)</f>
        <v>34930362463.94271</v>
      </c>
      <c r="F6" s="18">
        <f>E6*(1+F5)</f>
        <v>36895240126.349236</v>
      </c>
    </row>
    <row r="7" spans="1:6" x14ac:dyDescent="0.25">
      <c r="A7" t="s">
        <v>5</v>
      </c>
      <c r="B7" s="10">
        <f>Assumptions!B7</f>
        <v>0.01955566336493657</v>
      </c>
      <c r="C7" s="10">
        <f>Assumptions!B7</f>
        <v>0.01955566336493657</v>
      </c>
      <c r="D7" s="10">
        <f>Assumptions!B7</f>
        <v>0.01955566336493657</v>
      </c>
      <c r="E7" s="10">
        <f>Assumptions!B7</f>
        <v>0.01955566336493657</v>
      </c>
      <c r="F7" s="10">
        <f>Assumptions!B7</f>
        <v>0.01955566336493657</v>
      </c>
    </row>
    <row r="8" spans="1:6" x14ac:dyDescent="0.25">
      <c r="A8" t="s">
        <v>44</v>
      </c>
      <c r="B8" s="18">
        <f>B6*B7</f>
        <v>579660754.6329241</v>
      </c>
      <c r="C8" s="18">
        <f>C6*C7</f>
        <v>612267415.0913619</v>
      </c>
      <c r="D8" s="18">
        <f>D6*D7</f>
        <v>646708241.9958706</v>
      </c>
      <c r="E8" s="18">
        <f>E6*E7</f>
        <v>683086409.56008</v>
      </c>
      <c r="F8" s="18">
        <f>F6*F7</f>
        <v>721510895.6793855</v>
      </c>
    </row>
    <row r="9" spans="1:6" x14ac:dyDescent="0.25">
      <c r="A9" t="s">
        <v>45</v>
      </c>
      <c r="B9" s="18">
        <f>B8*(1-Assumptions!B8)</f>
        <v>457931996.16001004</v>
      </c>
      <c r="C9" s="18">
        <f>C8*(1-Assumptions!B8)</f>
        <v>483691257.9221759</v>
      </c>
      <c r="D9" s="18">
        <f>D8*(1-Assumptions!B8)</f>
        <v>510899511.1767378</v>
      </c>
      <c r="E9" s="18">
        <f>E8*(1-Assumptions!B8)</f>
        <v>539638263.5524633</v>
      </c>
      <c r="F9" s="18">
        <f>F8*(1-Assumptions!B8)</f>
        <v>569993607.5867146</v>
      </c>
    </row>
    <row r="10" spans="1:6" x14ac:dyDescent="0.25">
      <c r="A10" t="s">
        <v>46</v>
      </c>
      <c r="B10" s="18">
        <f>B6*Assumptions!B9</f>
        <v>1711405904.9202769</v>
      </c>
      <c r="C10" s="18">
        <f>C6*Assumptions!B9</f>
        <v>1807674680.755617</v>
      </c>
      <c r="D10" s="18">
        <f>D6*Assumptions!B9</f>
        <v>1909358698.6292076</v>
      </c>
      <c r="E10" s="18">
        <f>E6*Assumptions!B9</f>
        <v>2016762572.8469691</v>
      </c>
      <c r="F10" s="18">
        <f>F6*Assumptions!B9</f>
        <v>2130208052.6599844</v>
      </c>
    </row>
    <row r="11" spans="1:6" x14ac:dyDescent="0.25">
      <c r="A11" t="s">
        <v>47</v>
      </c>
      <c r="B11" s="18">
        <f>-B6*Assumptions!B10</f>
        <v>-3487334474.7863503</v>
      </c>
      <c r="C11" s="18">
        <f>-C6*Assumptions!B10</f>
        <v>-3683501509.0655146</v>
      </c>
      <c r="D11" s="18">
        <f>-D6*Assumptions!B10</f>
        <v>-3890703190.470186</v>
      </c>
      <c r="E11" s="18">
        <f>-E6*Assumptions!B10</f>
        <v>-4109560232.045408</v>
      </c>
      <c r="F11" s="18">
        <f>-F6*Assumptions!B10</f>
        <v>-4340728262.740637</v>
      </c>
    </row>
    <row r="12" spans="1:6" x14ac:dyDescent="0.25">
      <c r="A12" t="s">
        <v>48</v>
      </c>
      <c r="B12" s="18">
        <f>-(B6-Assumptions!B29)*Assumptions!B11</f>
        <v>-1124057629.068896</v>
      </c>
      <c r="C12" s="18">
        <f>-(C6-B6)*Assumptions!B11</f>
        <v>-1187287311.523378</v>
      </c>
      <c r="D12" s="18">
        <f>-(D6-C6)*Assumptions!B11</f>
        <v>-1254073744.663862</v>
      </c>
      <c r="E12" s="18">
        <f>-(E6-D6)*Assumptions!B11</f>
        <v>-1324617000.2754843</v>
      </c>
      <c r="F12" s="18">
        <f>-(F6-E6)*Assumptions!B11</f>
        <v>-1399128404.4377496</v>
      </c>
    </row>
    <row r="13" spans="1:6" x14ac:dyDescent="0.25">
      <c r="A13" s="19" t="s">
        <v>49</v>
      </c>
      <c r="B13" s="20">
        <f>B9+B10+B11+B12</f>
        <v>-2442054202.7749596</v>
      </c>
      <c r="C13" s="20">
        <f>C9+C10+C11+C12</f>
        <v>-2579422881.9111</v>
      </c>
      <c r="D13" s="20">
        <f>D9+D10+D11+D12</f>
        <v>-2724518725.328103</v>
      </c>
      <c r="E13" s="20">
        <f>E9+E10+E11+E12</f>
        <v>-2877776395.92146</v>
      </c>
      <c r="F13" s="20">
        <f>F9+F10+F11+F12</f>
        <v>-3039655006.9316874</v>
      </c>
    </row>
    <row r="14" spans="1:6" x14ac:dyDescent="0.25">
      <c r="A14" t="s">
        <v>50</v>
      </c>
      <c r="B14" s="21">
        <f>1/(1+Assumptions!$B$26)^(1-0.5*Assumptions!$B$32)</f>
        <v>0.9563639107845879</v>
      </c>
      <c r="C14" s="21">
        <f>1/(1+Assumptions!$B$26)^(2-0.5*Assumptions!$B$32)</f>
        <v>0.8747209693609403</v>
      </c>
      <c r="D14" s="21">
        <f>1/(1+Assumptions!$B$26)^(3-0.5*Assumptions!$B$32)</f>
        <v>0.8000477282879016</v>
      </c>
      <c r="E14" s="21">
        <f>1/(1+Assumptions!$B$26)^(4-0.5*Assumptions!$B$32)</f>
        <v>0.7317491976970251</v>
      </c>
      <c r="F14" s="21">
        <f>1/(1+Assumptions!$B$26)^(5-0.5*Assumptions!$B$32)</f>
        <v>0.669281180856691</v>
      </c>
    </row>
    <row r="15" spans="1:6" x14ac:dyDescent="0.25">
      <c r="A15" s="19" t="s">
        <v>51</v>
      </c>
      <c r="B15" s="20">
        <f>B13*B14</f>
        <v>-2335492507.7137995</v>
      </c>
      <c r="C15" s="20">
        <f>C13*C14</f>
        <v>-2256275283.657068</v>
      </c>
      <c r="D15" s="20">
        <f>D13*D14</f>
        <v>-2179745016.8765984</v>
      </c>
      <c r="E15" s="20">
        <f>E13*E14</f>
        <v>-2105810568.8669648</v>
      </c>
      <c r="F15" s="20">
        <f>F13*F14</f>
        <v>-2034383892.436193</v>
      </c>
    </row>
    <row r="17" spans="1:2" x14ac:dyDescent="0.25">
      <c r="A17" s="22" t="s">
        <v>52</v>
      </c>
      <c r="B17" s="23">
        <f>SUM(B15:F15)</f>
        <v>-10911707269.550623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-3039655006.9316874</v>
      </c>
    </row>
    <row r="5" spans="1:2" x14ac:dyDescent="0.25">
      <c r="A5" t="s">
        <v>56</v>
      </c>
      <c r="B5" s="18">
        <f>IF(Assumptions!$B$33=0,B4,B4-Forecast!F11-Forecast!F10-Forecast!F12)</f>
        <v>569993607.5867146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0.2678495391359022</v>
      </c>
    </row>
    <row r="7" spans="1:2" x14ac:dyDescent="0.25">
      <c r="A7" t="s">
        <v>58</v>
      </c>
      <c r="B7" s="18">
        <f>-MAX(Forecast!F9,0)*B6</f>
        <v>-152672525.1025118</v>
      </c>
    </row>
    <row r="8" spans="1:2" x14ac:dyDescent="0.25">
      <c r="A8" t="s">
        <v>59</v>
      </c>
      <c r="B8" s="18">
        <f>IF(OR(Assumptions!$B$33=0,Assumptions!B12&lt;=0),B5,MAX(B5+B7,0))</f>
        <v>417321082.48420286</v>
      </c>
    </row>
    <row r="9" spans="1:2" x14ac:dyDescent="0.25">
      <c r="A9" t="s">
        <v>60</v>
      </c>
      <c r="B9" s="18">
        <f>B8*(1+Assumptions!B12)/(Assumptions!B26-Assumptions!B12)</f>
        <v>6259573529.202985</v>
      </c>
    </row>
    <row r="10" spans="1:2" x14ac:dyDescent="0.25">
      <c r="A10" t="s">
        <v>61</v>
      </c>
      <c r="B10" s="18">
        <f>B9/(1+Assumptions!B26)^(5-0.5*Assumptions!B32)</f>
        <v>4189414763.2842584</v>
      </c>
    </row>
    <row r="11" spans="1:2" x14ac:dyDescent="0.25">
      <c r="A11" t="s">
        <v>62</v>
      </c>
      <c r="B11" s="18">
        <f>Forecast!B17+B10</f>
        <v>-6722292506.266365</v>
      </c>
    </row>
    <row r="12" spans="1:2" x14ac:dyDescent="0.25">
      <c r="A12" t="s">
        <v>63</v>
      </c>
      <c r="B12" s="18">
        <f>-Assumptions!B30</f>
        <v>-2750000000</v>
      </c>
    </row>
    <row r="13" spans="1:2" x14ac:dyDescent="0.25">
      <c r="A13" t="s">
        <v>64</v>
      </c>
      <c r="B13" s="18">
        <f>B11+B12</f>
        <v>-9472292506.266365</v>
      </c>
    </row>
    <row r="14" spans="1:2" x14ac:dyDescent="0.25">
      <c r="A14" s="19" t="s">
        <v>65</v>
      </c>
      <c r="B14" s="24">
        <f>B13/Assumptions!B31</f>
        <v>-16.975434599043666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2851718948.33937</v>
      </c>
    </row>
    <row r="18" spans="1:2" x14ac:dyDescent="0.25">
      <c r="A18" t="s">
        <v>60</v>
      </c>
      <c r="B18" s="18">
        <f>B17*Assumptions!B13</f>
        <v>32702605123.39618</v>
      </c>
    </row>
    <row r="19" spans="1:2" x14ac:dyDescent="0.25">
      <c r="A19" t="s">
        <v>61</v>
      </c>
      <c r="B19" s="18">
        <f>B18/(1+Assumptions!B26)^(5-0.5*Assumptions!B32)</f>
        <v>21887238174.076668</v>
      </c>
    </row>
    <row r="20" spans="1:2" x14ac:dyDescent="0.25">
      <c r="A20" t="s">
        <v>62</v>
      </c>
      <c r="B20" s="18">
        <f>Forecast!B17+B19</f>
        <v>10975530904.526045</v>
      </c>
    </row>
    <row r="21" spans="1:2" x14ac:dyDescent="0.25">
      <c r="A21" t="s">
        <v>63</v>
      </c>
      <c r="B21" s="18">
        <f>-Assumptions!B30</f>
        <v>-2750000000</v>
      </c>
    </row>
    <row r="22" spans="1:2" x14ac:dyDescent="0.25">
      <c r="A22" t="s">
        <v>64</v>
      </c>
      <c r="B22" s="18">
        <f>B20+B21</f>
        <v>8225530904.526045</v>
      </c>
    </row>
    <row r="23" spans="1:2" x14ac:dyDescent="0.25">
      <c r="A23" s="19" t="s">
        <v>65</v>
      </c>
      <c r="B23" s="25">
        <f>B22/Assumptions!B31</f>
        <v>14.741094810978575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40.98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-16.975434599043666</v>
      </c>
    </row>
    <row r="29" spans="1:2" x14ac:dyDescent="0.25">
      <c r="A29" s="19" t="s">
        <v>73</v>
      </c>
      <c r="B29" s="12">
        <f>B28/B26-1</f>
        <v>-1.4142370570776883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0.073336</v>
      </c>
      <c r="B5" s="31">
        <v>-15.10604964501873</v>
      </c>
      <c r="C5" s="31">
        <v>-15.055399821048493</v>
      </c>
      <c r="D5" s="31">
        <v>-15.00474999707826</v>
      </c>
      <c r="E5" s="31">
        <v>-14.954100173108024</v>
      </c>
      <c r="F5" s="31">
        <v>-14.90345034913779</v>
      </c>
    </row>
    <row r="6" spans="1:6" x14ac:dyDescent="0.25">
      <c r="A6" s="30">
        <v>0.083336</v>
      </c>
      <c r="B6" s="31">
        <v>-16.248446810934006</v>
      </c>
      <c r="C6" s="31">
        <v>-16.20569654205553</v>
      </c>
      <c r="D6" s="31">
        <v>-16.162946273177056</v>
      </c>
      <c r="E6" s="31">
        <v>-16.120196004298577</v>
      </c>
      <c r="F6" s="31">
        <v>-16.077445735420103</v>
      </c>
    </row>
    <row r="7" spans="1:6" x14ac:dyDescent="0.25">
      <c r="A7" s="30">
        <v>0.093336</v>
      </c>
      <c r="B7" s="31">
        <v>-17.04868366165296</v>
      </c>
      <c r="C7" s="31">
        <v>-17.012059711134267</v>
      </c>
      <c r="D7" s="32">
        <v>-16.975435760615586</v>
      </c>
      <c r="E7" s="31">
        <v>-16.938811810096894</v>
      </c>
      <c r="F7" s="31">
        <v>-16.902187859578206</v>
      </c>
    </row>
    <row r="8" spans="1:6" x14ac:dyDescent="0.25">
      <c r="A8" s="30">
        <v>0.103336</v>
      </c>
      <c r="B8" s="31">
        <v>-17.61122922025274</v>
      </c>
      <c r="C8" s="31">
        <v>-17.579477365826868</v>
      </c>
      <c r="D8" s="31">
        <v>-17.547725511400994</v>
      </c>
      <c r="E8" s="31">
        <v>-17.515973656975124</v>
      </c>
      <c r="F8" s="31">
        <v>-17.484221802549257</v>
      </c>
    </row>
    <row r="9" spans="1:6" x14ac:dyDescent="0.25">
      <c r="A9" s="30">
        <v>0.113336</v>
      </c>
      <c r="B9" s="31">
        <v>-18.003369259910595</v>
      </c>
      <c r="C9" s="31">
        <v>-17.97557086155049</v>
      </c>
      <c r="D9" s="31">
        <v>-17.94777246319039</v>
      </c>
      <c r="E9" s="31">
        <v>-17.91997406483029</v>
      </c>
      <c r="F9" s="31">
        <v>-17.892175666470184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28063000000</v>
      </c>
      <c r="C5" s="18">
        <v>27483000000</v>
      </c>
      <c r="D5" s="18">
        <v>26091000000</v>
      </c>
      <c r="E5" s="18">
        <v>23814000000</v>
      </c>
      <c r="F5" s="8" t="s">
        <v>84</v>
      </c>
    </row>
    <row r="6" spans="1:6" x14ac:dyDescent="0.25">
      <c r="A6" t="s">
        <v>44</v>
      </c>
      <c r="B6" s="18">
        <v>428000000</v>
      </c>
      <c r="C6" s="18">
        <v>321000000</v>
      </c>
      <c r="D6" s="18">
        <v>224000000</v>
      </c>
      <c r="E6" s="18">
        <v>1017000000</v>
      </c>
      <c r="F6" s="8" t="s">
        <v>85</v>
      </c>
    </row>
    <row r="7" spans="1:6" x14ac:dyDescent="0.25">
      <c r="A7" t="s">
        <v>86</v>
      </c>
      <c r="B7" s="18">
        <v>1560000000</v>
      </c>
      <c r="C7" s="18">
        <v>1657000000</v>
      </c>
      <c r="D7" s="18">
        <v>1522000000</v>
      </c>
      <c r="E7" s="18">
        <v>1351000000</v>
      </c>
      <c r="F7" s="8" t="s">
        <v>87</v>
      </c>
    </row>
    <row r="8" spans="1:6" x14ac:dyDescent="0.25">
      <c r="A8" t="s">
        <v>88</v>
      </c>
      <c r="B8" s="18">
        <v>2673000000</v>
      </c>
      <c r="C8" s="18">
        <v>2054000000</v>
      </c>
      <c r="D8" s="18">
        <v>3520000000</v>
      </c>
      <c r="E8" s="18">
        <v>3946000000</v>
      </c>
      <c r="F8" s="8" t="s">
        <v>89</v>
      </c>
    </row>
    <row r="9" spans="1:6" x14ac:dyDescent="0.25">
      <c r="A9" t="s">
        <v>90</v>
      </c>
      <c r="B9" s="18">
        <v>413000000</v>
      </c>
      <c r="C9" s="18">
        <v>1586000000</v>
      </c>
      <c r="D9" s="18">
        <v>-1249000000</v>
      </c>
      <c r="E9" s="18">
        <v>-1483000000</v>
      </c>
      <c r="F9" s="8" t="s">
        <v>91</v>
      </c>
    </row>
    <row r="10" spans="1:6" x14ac:dyDescent="0.25">
      <c r="A10" t="s">
        <v>92</v>
      </c>
      <c r="B10" s="18">
        <v>5981000000</v>
      </c>
      <c r="C10" s="18">
        <v>8058000000</v>
      </c>
      <c r="D10" s="18">
        <v>9200000000</v>
      </c>
      <c r="E10" s="18">
        <v>9431000000</v>
      </c>
      <c r="F10" s="8" t="s">
        <v>93</v>
      </c>
    </row>
    <row r="11" spans="1:6" x14ac:dyDescent="0.25">
      <c r="A11" t="s">
        <v>94</v>
      </c>
      <c r="B11" s="18">
        <v>3231000000</v>
      </c>
      <c r="C11" s="18">
        <v>8725000000</v>
      </c>
      <c r="D11" s="18">
        <v>11474000000</v>
      </c>
      <c r="E11" s="18">
        <v>12292000000</v>
      </c>
      <c r="F11" s="8" t="s">
        <v>95</v>
      </c>
    </row>
    <row r="12" spans="1:6" x14ac:dyDescent="0.25">
      <c r="A12" t="s">
        <v>32</v>
      </c>
      <c r="B12" s="34">
        <v>558000000</v>
      </c>
      <c r="C12" s="34">
        <v>643000000</v>
      </c>
      <c r="D12" s="34">
        <v>640000000</v>
      </c>
      <c r="E12" s="34">
        <v>642000000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2026-09-19T00:07:44Z</dcterms:modified>
</cp:coreProperties>
</file>