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<sst xmlns="http://schemas.openxmlformats.org/spreadsheetml/2006/main" count="119" uniqueCount="106">
  <si>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Las Vegas Sands Corp. (LVS)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</si>
  <si>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</si>
  <si>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</si>
  <si>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</si>
  <si>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</si>
  <si>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</si>
  <si>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</si>
  <si>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</si>
  <si>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</si>
  <si>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</si>
  <si>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</si>
  <si>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</si>
  <si>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</si>
  <si>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</si>
  <si>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</si>
  <si>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</si>
  <si>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</si>
  <si>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</si>
  <si>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</si>
  <si>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</si>
  <si>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</si>
  <si>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</si>
  <si>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</si>
  <si>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</si>
  <si>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4.1x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</si>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</sst>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0.034470402550510926</v>
      </c>
    </row>
    <row r="7" spans="1:2" x14ac:dyDescent="0.25">
      <c r="A7" t="s">
        <v>4</v>
      </c>
      <c r="B7" s="5">
        <v>0.12381986418158636</v>
      </c>
    </row>
    <row r="8" spans="1:2" x14ac:dyDescent="0.25">
      <c r="A8" t="s">
        <v>5</v>
      </c>
      <c r="B8" s="5">
        <v>0.15680072300045186</v>
      </c>
    </row>
    <row r="9" spans="1:2" x14ac:dyDescent="0.25">
      <c r="A9" t="s">
        <v>6</v>
      </c>
      <c r="B9" s="5">
        <v>0.15672492986031242</v>
      </c>
    </row>
    <row r="10" spans="1:3" x14ac:dyDescent="0.25">
      <c r="A10" t="s">
        <v>7</v>
      </c>
      <c r="B10" s="5">
        <v>0.13657774121267868</v>
      </c>
      <c r="C10" s="6" t="s">
        <v>8</v>
      </c>
    </row>
    <row r="11" spans="1:2" x14ac:dyDescent="0.25">
      <c r="A11" t="s">
        <v>9</v>
      </c>
      <c r="B11" s="5">
        <v>0.04008334453971772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7.7529732037157055</v>
      </c>
    </row>
    <row r="14" spans="1:3" x14ac:dyDescent="0.25">
      <c r="A14" t="s">
        <v>12</v>
      </c>
      <c r="B14" s="5">
        <v>0.12498974615778347</v>
      </c>
      <c r="C14" s="6" t="s">
        <v>13</v>
      </c>
    </row>
    <row r="15" spans="1:3" x14ac:dyDescent="0.25">
      <c r="A15" t="s">
        <v>14</v>
      </c>
      <c r="B15" s="5">
        <v>0.15672492986031242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0.84456</v>
      </c>
      <c r="C19" s="6" t="s">
        <v>21</v>
      </c>
    </row>
    <row r="20" spans="1:2" x14ac:dyDescent="0.25">
      <c r="A20" t="s">
        <v>22</v>
      </c>
      <c r="B20" s="9">
        <f>B17+B19*B18</f>
        <v>0.084664888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23945512960</v>
      </c>
    </row>
    <row r="23" spans="1:2" x14ac:dyDescent="0.25">
      <c r="A23" t="s">
        <v>26</v>
      </c>
      <c r="B23" s="10">
        <v>15784000000</v>
      </c>
    </row>
    <row r="24" spans="1:2" x14ac:dyDescent="0.25">
      <c r="A24" t="s">
        <v>27</v>
      </c>
      <c r="B24" s="9">
        <f>B22/(B22+B23)</f>
        <v>0.6027134786200007</v>
      </c>
    </row>
    <row r="25" spans="1:2" x14ac:dyDescent="0.25">
      <c r="A25" t="s">
        <v>28</v>
      </c>
      <c r="B25" s="9">
        <f>1-B24</f>
        <v>0.3972865213799993</v>
      </c>
    </row>
    <row r="26" spans="1:2" x14ac:dyDescent="0.25">
      <c r="A26" t="s">
        <v>29</v>
      </c>
      <c r="B26" s="11">
        <f>B24*B20+B25*B21*(1-B8)</f>
        <v>0.07040458953041676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13017000000</v>
      </c>
      <c r="C29" s="6" t="s">
        <v>32</v>
      </c>
    </row>
    <row r="30" spans="1:2" x14ac:dyDescent="0.25">
      <c r="A30" t="s">
        <v>33</v>
      </c>
      <c r="B30" s="10">
        <v>11943000000</v>
      </c>
    </row>
    <row r="31" spans="1:2" x14ac:dyDescent="0.25">
      <c r="A31" t="s">
        <v>34</v>
      </c>
      <c r="B31" s="12">
        <v>693000000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0.034470402550510926</v>
      </c>
      <c r="C5" s="5">
        <v>0.03840863176495701</v>
      </c>
      <c r="D5" s="5">
        <v>0.03673255279433739</v>
      </c>
      <c r="E5" s="5">
        <v>0.03505647382371776</v>
      </c>
      <c r="F5" s="5">
        <v>0.033380394853098135</v>
      </c>
      <c r="G5" s="5">
        <v>0.031704315882478504</v>
      </c>
      <c r="H5" s="5">
        <v>0.03002823691185888</v>
      </c>
      <c r="I5" s="5">
        <v>0.028352157941239256</v>
      </c>
      <c r="J5" s="5">
        <v>0.02667607897061963</v>
      </c>
      <c r="K5" s="5">
        <v>0.025</v>
      </c>
    </row>
    <row r="6" spans="1:11" x14ac:dyDescent="0.25">
      <c r="A6" t="s">
        <v>50</v>
      </c>
      <c r="B6" s="18">
        <f>Assumptions!B29*(1+B5)</f>
        <v>13465701230</v>
      </c>
      <c r="C6" s="18">
        <f>B6*(1+C5)</f>
        <v>13982900389.999998</v>
      </c>
      <c r="D6" s="18">
        <f>C6*(1+D5)</f>
        <v>14496528016.793634</v>
      </c>
      <c r="E6" s="18">
        <f>D6*(1+E5)</f>
        <v>15004725171.749151</v>
      </c>
      <c r="F6" s="18">
        <f>E6*(1+F5)</f>
        <v>15505588822.64436</v>
      </c>
      <c r="G6" s="18">
        <f>F6*(1+G5)</f>
        <v>15997182908.621305</v>
      </c>
      <c r="H6" s="18">
        <f>G6*(1+H5)</f>
        <v>16477550106.923727</v>
      </c>
      <c r="I6" s="18">
        <f>H6*(1+I5)</f>
        <v>16944724210.039913</v>
      </c>
      <c r="J6" s="18">
        <f>I6*(1+J5)</f>
        <v>17396743011.202305</v>
      </c>
      <c r="K6" s="18">
        <f>J6*(1+K5)</f>
        <v>17831661586.48236</v>
      </c>
    </row>
    <row r="7" spans="1:11" x14ac:dyDescent="0.25">
      <c r="A7" t="s">
        <v>4</v>
      </c>
      <c r="B7" s="9">
        <f>Assumptions!B7</f>
        <v>0.12381986418158636</v>
      </c>
      <c r="C7" s="9">
        <f>Assumptions!B7</f>
        <v>0.12381986418158636</v>
      </c>
      <c r="D7" s="9">
        <f>Assumptions!B7</f>
        <v>0.12381986418158636</v>
      </c>
      <c r="E7" s="9">
        <f>Assumptions!B7</f>
        <v>0.12381986418158636</v>
      </c>
      <c r="F7" s="9">
        <f>Assumptions!B7</f>
        <v>0.12381986418158636</v>
      </c>
      <c r="G7" s="9">
        <f>Assumptions!B7</f>
        <v>0.12381986418158636</v>
      </c>
      <c r="H7" s="9">
        <f>Assumptions!B7</f>
        <v>0.12381986418158636</v>
      </c>
      <c r="I7" s="9">
        <f>Assumptions!B7</f>
        <v>0.12381986418158636</v>
      </c>
      <c r="J7" s="9">
        <f>Assumptions!B7</f>
        <v>0.12381986418158636</v>
      </c>
      <c r="K7" s="9">
        <f>Assumptions!B7</f>
        <v>0.12381986418158636</v>
      </c>
    </row>
    <row r="8" spans="1:11" x14ac:dyDescent="0.25">
      <c r="A8" t="s">
        <v>51</v>
      </c>
      <c r="B8" s="18">
        <f>B6*B7</f>
        <v>1667321297.4084203</v>
      </c>
      <c r="C8" s="18">
        <f>C6*C7</f>
        <v>1731360827.1544507</v>
      </c>
      <c r="D8" s="18">
        <f>D6*D7</f>
        <v>1794958130.1439493</v>
      </c>
      <c r="E8" s="18">
        <f>E6*E7</f>
        <v>1857883032.84801</v>
      </c>
      <c r="F8" s="18">
        <f>F6*F7</f>
        <v>1919899902.0753481</v>
      </c>
      <c r="G8" s="18">
        <f>G6*G7</f>
        <v>1980769015.0334847</v>
      </c>
      <c r="H8" s="18">
        <f>H6*H7</f>
        <v>2040248016.2845798</v>
      </c>
      <c r="I8" s="18">
        <f>I6*I7</f>
        <v>2098093450.2815802</v>
      </c>
      <c r="J8" s="18">
        <f>J6*J7</f>
        <v>2154062356.849031</v>
      </c>
      <c r="K8" s="18">
        <f>K6*K7</f>
        <v>2207913915.7702565</v>
      </c>
    </row>
    <row r="9" spans="1:11" x14ac:dyDescent="0.25">
      <c r="A9" t="s">
        <v>52</v>
      </c>
      <c r="B9" s="18">
        <f>B8*(1-Assumptions!B8)</f>
        <v>1405884112.5007286</v>
      </c>
      <c r="C9" s="18">
        <f>C8*(1-Assumptions!B8)</f>
        <v>1459882197.6819723</v>
      </c>
      <c r="D9" s="18">
        <f>D8*(1-Assumptions!B8)</f>
        <v>1513507397.5818388</v>
      </c>
      <c r="E9" s="18">
        <f>E8*(1-Assumptions!B8)</f>
        <v>1566565630.0471697</v>
      </c>
      <c r="F9" s="18">
        <f>F8*(1-Assumptions!B8)</f>
        <v>1618858209.3414369</v>
      </c>
      <c r="G9" s="18">
        <f>G8*(1-Assumptions!B8)</f>
        <v>1670183001.3793414</v>
      </c>
      <c r="H9" s="18">
        <f>H8*(1-Assumptions!B8)</f>
        <v>1720335652.2309198</v>
      </c>
      <c r="I9" s="18">
        <f>I8*(1-Assumptions!B8)</f>
        <v>1769110880.3549159</v>
      </c>
      <c r="J9" s="18">
        <f>J8*(1-Assumptions!B8)</f>
        <v>1816303821.9070456</v>
      </c>
      <c r="K9" s="18">
        <f>K8*(1-Assumptions!B8)</f>
        <v>1861711417.4547215</v>
      </c>
    </row>
    <row r="10" spans="1:11" x14ac:dyDescent="0.25">
      <c r="A10" t="s">
        <v>53</v>
      </c>
      <c r="B10" s="18">
        <f>B6*Assumptions!B9</f>
        <v>2110411080.7916727</v>
      </c>
      <c r="C10" s="18">
        <f>C6*Assumptions!B9</f>
        <v>2191469082.8664846</v>
      </c>
      <c r="D10" s="18">
        <f>D6*Assumptions!B9</f>
        <v>2271967336.6500363</v>
      </c>
      <c r="E10" s="18">
        <f>E6*Assumptions!B9</f>
        <v>2351614500.1156497</v>
      </c>
      <c r="F10" s="18">
        <f>F6*Assumptions!B9</f>
        <v>2430112320.6717815</v>
      </c>
      <c r="G10" s="18">
        <f>G6*Assumptions!B9</f>
        <v>2507157369.3162627</v>
      </c>
      <c r="H10" s="18">
        <f>H6*Assumptions!B9</f>
        <v>2582442884.7774043</v>
      </c>
      <c r="I10" s="18">
        <f>I6*Assumptions!B9</f>
        <v>2655660713.320843</v>
      </c>
      <c r="J10" s="18">
        <f>J6*Assumptions!B9</f>
        <v>2726503328.2285614</v>
      </c>
      <c r="K10" s="18">
        <f>K6*Assumptions!B9</f>
        <v>2794665911.434275</v>
      </c>
    </row>
    <row r="11" spans="1:11" x14ac:dyDescent="0.25">
      <c r="A11" t="s">
        <v>54</v>
      </c>
      <c r="B11" s="18">
        <f>-B6*B19</f>
        <v>-1839115057.8381891</v>
      </c>
      <c r="C11" s="18">
        <f>-C6*C19</f>
        <v>-1973499231.3727965</v>
      </c>
      <c r="D11" s="18">
        <f>-D6*D19</f>
        <v>-2112078740.1975765</v>
      </c>
      <c r="E11" s="18">
        <f>-E6*E19</f>
        <v>-2254525424.163155</v>
      </c>
      <c r="F11" s="18">
        <f>-F6*F19</f>
        <v>-2400470398.1809845</v>
      </c>
      <c r="G11" s="18">
        <f>-G6*G19</f>
        <v>-2549504810.5829253</v>
      </c>
      <c r="H11" s="18">
        <f>-H6*H19</f>
        <v>-2701181019.1871653</v>
      </c>
      <c r="I11" s="18">
        <f>-I6*I19</f>
        <v>-2855014192.069703</v>
      </c>
      <c r="J11" s="18">
        <f>-J6*J19</f>
        <v>-3010484334.861326</v>
      </c>
      <c r="K11" s="18">
        <f>-K6*K19</f>
        <v>-3167038740.9431357</v>
      </c>
    </row>
    <row r="12" spans="1:11" x14ac:dyDescent="0.25">
      <c r="A12" t="s">
        <v>55</v>
      </c>
      <c r="B12" s="18">
        <f>-(B6-Assumptions!B29)*Assumptions!B11</f>
        <v>-17985445.997485127</v>
      </c>
      <c r="C12" s="18">
        <f>-(C6-B6)*Assumptions!B11</f>
        <v>-20731072.125932515</v>
      </c>
      <c r="D12" s="18">
        <f>-(D6-C6)*Assumptions!B11</f>
        <v>-20587913.129886873</v>
      </c>
      <c r="E12" s="18">
        <f>-(E6-D6)*Assumptions!B11</f>
        <v>-20370241.656186298</v>
      </c>
      <c r="F12" s="18">
        <f>-(F6-E6)*Assumptions!B11</f>
        <v>-20076290.286253534</v>
      </c>
      <c r="G12" s="18">
        <f>-(G6-F6)*Assumptions!B11</f>
        <v>-19704735.12190154</v>
      </c>
      <c r="H12" s="18">
        <f>-(H6-G6)*Assumptions!B11</f>
        <v>-19254723.91513487</v>
      </c>
      <c r="I12" s="18">
        <f>-(I6-H6)*Assumptions!B11</f>
        <v>-18725900.535239704</v>
      </c>
      <c r="J12" s="18">
        <f>-(J6-I6)*Assumptions!B11</f>
        <v>-18118425.3454223</v>
      </c>
      <c r="K12" s="18">
        <f>-(K6-J6)*Assumptions!B11</f>
        <v>-17432991.099673644</v>
      </c>
    </row>
    <row r="13" spans="1:11" x14ac:dyDescent="0.25">
      <c r="A13" s="19" t="s">
        <v>56</v>
      </c>
      <c r="B13" s="20">
        <f>B9+B10+B11+B12</f>
        <v>1659194689.456727</v>
      </c>
      <c r="C13" s="20">
        <f>C9+C10+C11+C12</f>
        <v>1657120977.0497282</v>
      </c>
      <c r="D13" s="20">
        <f>D9+D10+D11+D12</f>
        <v>1652808080.904412</v>
      </c>
      <c r="E13" s="20">
        <f>E9+E10+E11+E12</f>
        <v>1643284464.343478</v>
      </c>
      <c r="F13" s="20">
        <f>F9+F10+F11+F12</f>
        <v>1628423841.5459805</v>
      </c>
      <c r="G13" s="20">
        <f>G9+G10+G11+G12</f>
        <v>1608130824.9907775</v>
      </c>
      <c r="H13" s="20">
        <f>H9+H10+H11+H12</f>
        <v>1582342793.9060235</v>
      </c>
      <c r="I13" s="20">
        <f>I9+I10+I11+I12</f>
        <v>1551031501.0708165</v>
      </c>
      <c r="J13" s="20">
        <f>J9+J10+J11+J12</f>
        <v>1514204389.9288583</v>
      </c>
      <c r="K13" s="20">
        <f>K9+K10+K11+K12</f>
        <v>1471905596.8461866</v>
      </c>
    </row>
    <row r="14" spans="1:11" x14ac:dyDescent="0.25">
      <c r="A14" t="s">
        <v>57</v>
      </c>
      <c r="B14" s="21">
        <f>1/(1+Assumptions!$B$26)^(1-0.5*Assumptions!$B$32)</f>
        <v>0.9665537691504307</v>
      </c>
      <c r="C14" s="21">
        <f>1/(1+Assumptions!$B$26)^(2-0.5*Assumptions!$B$32)</f>
        <v>0.9029798438873051</v>
      </c>
      <c r="D14" s="21">
        <f>1/(1+Assumptions!$B$26)^(3-0.5*Assumptions!$B$32)</f>
        <v>0.8435874179906493</v>
      </c>
      <c r="E14" s="21">
        <f>1/(1+Assumptions!$B$26)^(4-0.5*Assumptions!$B$32)</f>
        <v>0.7881014583100101</v>
      </c>
      <c r="F14" s="21">
        <f>1/(1+Assumptions!$B$26)^(5-0.5*Assumptions!$B$32)</f>
        <v>0.7362650216734848</v>
      </c>
      <c r="G14" s="21">
        <f>1/(1+Assumptions!$B$26)^(6-0.5*Assumptions!$B$32)</f>
        <v>0.6878380650408852</v>
      </c>
      <c r="H14" s="21">
        <f>1/(1+Assumptions!$B$26)^(7-0.5*Assumptions!$B$32)</f>
        <v>0.6425963339176617</v>
      </c>
      <c r="I14" s="21">
        <f>1/(1+Assumptions!$B$26)^(8-0.5*Assumptions!$B$32)</f>
        <v>0.6003303238820815</v>
      </c>
      <c r="J14" s="21">
        <f>1/(1+Assumptions!$B$26)^(9-0.5*Assumptions!$B$32)</f>
        <v>0.5608443104167224</v>
      </c>
      <c r="K14" s="21">
        <f>1/(1+Assumptions!$B$26)^(10-0.5*Assumptions!$B$32)</f>
        <v>0.523955442551646</v>
      </c>
    </row>
    <row r="15" spans="1:11" x14ac:dyDescent="0.25">
      <c r="A15" s="19" t="s">
        <v>58</v>
      </c>
      <c r="B15" s="20">
        <f>B13*B14</f>
        <v>1603700880.8487778</v>
      </c>
      <c r="C15" s="20">
        <f>C13*C14</f>
        <v>1496346841.158742</v>
      </c>
      <c r="D15" s="20">
        <f>D13*D14</f>
        <v>1394288101.4042332</v>
      </c>
      <c r="E15" s="20">
        <f>E13*E14</f>
        <v>1295074882.7672787</v>
      </c>
      <c r="F15" s="20">
        <f>F13*F14</f>
        <v>1198951514.9894707</v>
      </c>
      <c r="G15" s="20">
        <f>G13*G14</f>
        <v>1106133594.9942586</v>
      </c>
      <c r="H15" s="20">
        <f>H13*H14</f>
        <v>1016807678.3650408</v>
      </c>
      <c r="I15" s="20">
        <f>I13*I14</f>
        <v>931131243.3891543</v>
      </c>
      <c r="J15" s="20">
        <f>J13*J14</f>
        <v>849232916.8996245</v>
      </c>
      <c r="K15" s="20">
        <f>K13*K14</f>
        <v>771212948.3897883</v>
      </c>
    </row>
    <row r="17" spans="1:2" x14ac:dyDescent="0.25">
      <c r="A17" s="22" t="s">
        <v>59</v>
      </c>
      <c r="B17" s="23">
        <f>SUM(B15:K15)</f>
        <v>11662880603.206367</v>
      </c>
    </row>
    <row r="19" spans="1:11" x14ac:dyDescent="0.25">
      <c r="A19" t="s">
        <v>7</v>
      </c>
      <c r="B19" s="9">
        <f>Assumptions!$B$10+($B$20-Assumptions!$B$10)*0/9</f>
        <v>0.13657774121267868</v>
      </c>
      <c r="C19" s="9">
        <f>Assumptions!$B$10+($B$20-Assumptions!$B$10)*1/9</f>
        <v>0.14113661517492915</v>
      </c>
      <c r="D19" s="9">
        <f>Assumptions!$B$10+($B$20-Assumptions!$B$10)*2/9</f>
        <v>0.14569548913717958</v>
      </c>
      <c r="E19" s="9">
        <f>Assumptions!$B$10+($B$20-Assumptions!$B$10)*3/9</f>
        <v>0.15025436309943005</v>
      </c>
      <c r="F19" s="9">
        <f>Assumptions!$B$10+($B$20-Assumptions!$B$10)*4/9</f>
        <v>0.1548132370616805</v>
      </c>
      <c r="G19" s="9">
        <f>Assumptions!$B$10+($B$20-Assumptions!$B$10)*5/9</f>
        <v>0.15937211102393095</v>
      </c>
      <c r="H19" s="9">
        <f>Assumptions!$B$10+($B$20-Assumptions!$B$10)*6/9</f>
        <v>0.1639309849861814</v>
      </c>
      <c r="I19" s="9">
        <f>Assumptions!$B$10+($B$20-Assumptions!$B$10)*7/9</f>
        <v>0.16848985894843185</v>
      </c>
      <c r="J19" s="9">
        <f>Assumptions!$B$10+($B$20-Assumptions!$B$10)*8/9</f>
        <v>0.1730487329106823</v>
      </c>
      <c r="K19" s="9">
        <f>Assumptions!$B$10+($B$20-Assumptions!$B$10)*9/9</f>
        <v>0.17760760687293276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0.17760760687293276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1471905596.8461866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1861711417.4547215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0.20001640749346525</v>
      </c>
    </row>
    <row r="7" spans="1:2" x14ac:dyDescent="0.25">
      <c r="A7" t="s">
        <v>66</v>
      </c>
      <c r="B7" s="18">
        <f>-MAX(B5,0)*B6</f>
        <v>-372372829.50886035</v>
      </c>
    </row>
    <row r="8" spans="1:2" x14ac:dyDescent="0.25">
      <c r="A8" t="s">
        <v>67</v>
      </c>
      <c r="B8" s="18">
        <f>IF(OR(Assumptions!$B$33=0,Assumptions!B12&lt;=0),B5,MAX(B5+B7,0))</f>
        <v>1489338587.945861</v>
      </c>
    </row>
    <row r="9" spans="1:2" x14ac:dyDescent="0.25">
      <c r="A9" t="s">
        <v>68</v>
      </c>
      <c r="B9" s="18">
        <f>B8*(1+Assumptions!B12)/(Assumptions!B26-Assumptions!B12)</f>
        <v>33621536246.282974</v>
      </c>
    </row>
    <row r="10" spans="1:2" x14ac:dyDescent="0.25">
      <c r="A10" t="s">
        <v>69</v>
      </c>
      <c r="B10" s="18">
        <f>B9/(1+Assumptions!B26)^(10-0.5*Assumptions!B32)</f>
        <v>17616186903.1874</v>
      </c>
    </row>
    <row r="11" spans="1:2" x14ac:dyDescent="0.25">
      <c r="A11" t="s">
        <v>70</v>
      </c>
      <c r="B11" s="18">
        <f>Forecast!B17+B10</f>
        <v>29279067506.39377</v>
      </c>
    </row>
    <row r="12" spans="1:2" x14ac:dyDescent="0.25">
      <c r="A12" t="s">
        <v>71</v>
      </c>
      <c r="B12" s="18">
        <f>-Assumptions!B30</f>
        <v>-11943000000</v>
      </c>
    </row>
    <row r="13" spans="1:2" x14ac:dyDescent="0.25">
      <c r="A13" t="s">
        <v>72</v>
      </c>
      <c r="B13" s="18">
        <f>B11+B12</f>
        <v>17336067506.39377</v>
      </c>
    </row>
    <row r="14" spans="1:2" x14ac:dyDescent="0.25">
      <c r="A14" s="19" t="s">
        <v>73</v>
      </c>
      <c r="B14" s="24">
        <f>B13/Assumptions!B31</f>
        <v>25.015970427696637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5002579827.204532</v>
      </c>
    </row>
    <row r="18" spans="1:2" x14ac:dyDescent="0.25">
      <c r="A18" t="s">
        <v>68</v>
      </c>
      <c r="B18" s="18">
        <f>B17*Assumptions!B13</f>
        <v>38784867349.76548</v>
      </c>
    </row>
    <row r="19" spans="1:2" x14ac:dyDescent="0.25">
      <c r="A19" t="s">
        <v>69</v>
      </c>
      <c r="B19" s="18">
        <f>B18/(1+Assumptions!B26)^(10-0.5*Assumptions!B32)</f>
        <v>20321542336.553257</v>
      </c>
    </row>
    <row r="20" spans="1:2" x14ac:dyDescent="0.25">
      <c r="A20" t="s">
        <v>70</v>
      </c>
      <c r="B20" s="18">
        <f>Forecast!B17+B19</f>
        <v>31984422939.759624</v>
      </c>
    </row>
    <row r="21" spans="1:2" x14ac:dyDescent="0.25">
      <c r="A21" t="s">
        <v>71</v>
      </c>
      <c r="B21" s="18">
        <f>-Assumptions!B30</f>
        <v>-11943000000</v>
      </c>
    </row>
    <row r="22" spans="1:2" x14ac:dyDescent="0.25">
      <c r="A22" t="s">
        <v>72</v>
      </c>
      <c r="B22" s="18">
        <f>B20+B21</f>
        <v>20041422939.759624</v>
      </c>
    </row>
    <row r="23" spans="1:2" x14ac:dyDescent="0.25">
      <c r="A23" s="19" t="s">
        <v>73</v>
      </c>
      <c r="B23" s="25">
        <f>B22/Assumptions!B31</f>
        <v>28.91980222187536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36.97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25.015970427696637</v>
      </c>
    </row>
    <row r="29" spans="1:2" x14ac:dyDescent="0.25">
      <c r="A29" s="19" t="s">
        <v>81</v>
      </c>
      <c r="B29" s="11">
        <f>B28/B26-1</f>
        <v>-0.32334405118483533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0.050405</v>
      </c>
      <c r="B5" s="31">
        <v>44.25181286817475</v>
      </c>
      <c r="C5" s="31">
        <v>48.864140046286664</v>
      </c>
      <c r="D5" s="31">
        <v>55.40604959717461</v>
      </c>
      <c r="E5" s="31">
        <v>65.29600442657939</v>
      </c>
      <c r="F5" s="31">
        <v>81.79402914844144</v>
      </c>
    </row>
    <row r="6" spans="1:6" x14ac:dyDescent="0.25">
      <c r="A6" s="30">
        <v>0.060405</v>
      </c>
      <c r="B6" s="31">
        <v>31.244520991262494</v>
      </c>
      <c r="C6" s="31">
        <v>33.26898064534503</v>
      </c>
      <c r="D6" s="31">
        <v>35.94250993823913</v>
      </c>
      <c r="E6" s="31">
        <v>39.58532082791798</v>
      </c>
      <c r="F6" s="31">
        <v>44.76971104914919</v>
      </c>
    </row>
    <row r="7" spans="1:6" x14ac:dyDescent="0.25">
      <c r="A7" s="30">
        <v>0.070405</v>
      </c>
      <c r="B7" s="31">
        <v>22.917068726510976</v>
      </c>
      <c r="C7" s="31">
        <v>23.836617257098684</v>
      </c>
      <c r="D7" s="32">
        <v>25.015619975767585</v>
      </c>
      <c r="E7" s="31">
        <v>26.550396962240928</v>
      </c>
      <c r="F7" s="31">
        <v>28.59167873528913</v>
      </c>
    </row>
    <row r="8" spans="1:6" x14ac:dyDescent="0.25">
      <c r="A8" s="30">
        <v>0.080405</v>
      </c>
      <c r="B8" s="31">
        <v>17.12385067238349</v>
      </c>
      <c r="C8" s="31">
        <v>17.50785098499699</v>
      </c>
      <c r="D8" s="31">
        <v>18.00528504261798</v>
      </c>
      <c r="E8" s="31">
        <v>18.649909539525062</v>
      </c>
      <c r="F8" s="31">
        <v>19.490350322856028</v>
      </c>
    </row>
    <row r="9" spans="1:6" x14ac:dyDescent="0.25">
      <c r="A9" s="30">
        <v>0.090405</v>
      </c>
      <c r="B9" s="31">
        <v>12.857368143135263</v>
      </c>
      <c r="C9" s="31">
        <v>12.96142687145406</v>
      </c>
      <c r="D9" s="31">
        <v>13.116777424543406</v>
      </c>
      <c r="E9" s="31">
        <v>13.336156783970381</v>
      </c>
      <c r="F9" s="31">
        <v>13.6368997046319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13017000000</v>
      </c>
      <c r="C5" s="18">
        <v>11298000000</v>
      </c>
      <c r="D5" s="18">
        <v>10372000000</v>
      </c>
      <c r="E5" s="18">
        <v>4110000000</v>
      </c>
      <c r="F5" s="6" t="s">
        <v>91</v>
      </c>
    </row>
    <row r="6" spans="1:6" x14ac:dyDescent="0.25">
      <c r="A6" t="s">
        <v>51</v>
      </c>
      <c r="B6" s="18">
        <v>3089000000</v>
      </c>
      <c r="C6" s="18">
        <v>2466000000</v>
      </c>
      <c r="D6" s="18">
        <v>2355000000</v>
      </c>
      <c r="E6" s="18">
        <v>-770000000</v>
      </c>
      <c r="F6" s="6" t="s">
        <v>92</v>
      </c>
    </row>
    <row r="7" spans="1:6" x14ac:dyDescent="0.25">
      <c r="A7" t="s">
        <v>93</v>
      </c>
      <c r="B7" s="18">
        <v>1540000000</v>
      </c>
      <c r="C7" s="18">
        <v>1368000000</v>
      </c>
      <c r="D7" s="18">
        <v>1266000000</v>
      </c>
      <c r="E7" s="18">
        <v>1091000000</v>
      </c>
      <c r="F7" s="6" t="s">
        <v>94</v>
      </c>
    </row>
    <row r="8" spans="1:6" x14ac:dyDescent="0.25">
      <c r="A8" t="s">
        <v>95</v>
      </c>
      <c r="B8" s="18">
        <v>1243000000</v>
      </c>
      <c r="C8" s="18">
        <v>1580000000</v>
      </c>
      <c r="D8" s="18">
        <v>1257000000</v>
      </c>
      <c r="E8" s="18">
        <v>780000000</v>
      </c>
      <c r="F8" s="6" t="s">
        <v>96</v>
      </c>
    </row>
    <row r="9" spans="1:6" x14ac:dyDescent="0.25">
      <c r="A9" t="s">
        <v>97</v>
      </c>
      <c r="B9" s="18">
        <v>784000000</v>
      </c>
      <c r="C9" s="18">
        <v>-19000000</v>
      </c>
      <c r="D9" s="18">
        <v>-390000000</v>
      </c>
      <c r="E9" s="18">
        <v>-164000000</v>
      </c>
      <c r="F9" s="6" t="s">
        <v>98</v>
      </c>
    </row>
    <row r="10" spans="1:6" x14ac:dyDescent="0.25">
      <c r="A10" t="s">
        <v>99</v>
      </c>
      <c r="B10" s="18">
        <v>15784000000</v>
      </c>
      <c r="C10" s="18">
        <v>13752000000</v>
      </c>
      <c r="D10" s="18">
        <v>14029000000</v>
      </c>
      <c r="E10" s="18">
        <v>15978000000</v>
      </c>
      <c r="F10" s="6" t="s">
        <v>100</v>
      </c>
    </row>
    <row r="11" spans="1:6" x14ac:dyDescent="0.25">
      <c r="A11" t="s">
        <v>101</v>
      </c>
      <c r="B11" s="18">
        <v>3841000000</v>
      </c>
      <c r="C11" s="18">
        <v>3650000000</v>
      </c>
      <c r="D11" s="18">
        <v>5105000000</v>
      </c>
      <c r="E11" s="18">
        <v>6311000000</v>
      </c>
      <c r="F11" s="6" t="s">
        <v>102</v>
      </c>
    </row>
    <row r="12" spans="1:6" x14ac:dyDescent="0.25">
      <c r="A12" t="s">
        <v>34</v>
      </c>
      <c r="B12" s="34">
        <v>693000000</v>
      </c>
      <c r="C12" s="34">
        <v>737000000</v>
      </c>
      <c r="D12" s="34">
        <v>754000000</v>
      </c>
      <c r="E12" s="34">
        <v>764000000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