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<sst xmlns="http://schemas.openxmlformats.org/spreadsheetml/2006/main" count="111" uniqueCount="99">
  <si>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Las Vegas Sands Corp. (LVS)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</si>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</sst>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0.4685532350721122</v>
      </c>
    </row>
    <row r="7" spans="1:2" x14ac:dyDescent="0.25">
      <c r="A7" t="s">
        <v>5</v>
      </c>
      <c r="B7" s="6">
        <v>0.12381986418158636</v>
      </c>
    </row>
    <row r="8" spans="1:2" x14ac:dyDescent="0.25">
      <c r="A8" t="s">
        <v>6</v>
      </c>
      <c r="B8" s="6">
        <v>0.15680072300045186</v>
      </c>
    </row>
    <row r="9" spans="1:2" x14ac:dyDescent="0.25">
      <c r="A9" t="s">
        <v>7</v>
      </c>
      <c r="B9" s="6">
        <v>0.15672492986031242</v>
      </c>
    </row>
    <row r="10" spans="1:2" x14ac:dyDescent="0.25">
      <c r="A10" t="s">
        <v>8</v>
      </c>
      <c r="B10" s="6">
        <v>0.13657774121267868</v>
      </c>
    </row>
    <row r="11" spans="1:2" x14ac:dyDescent="0.25">
      <c r="A11" t="s">
        <v>9</v>
      </c>
      <c r="B11" s="6">
        <v>-0.020518358531317494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8.174139603370058</v>
      </c>
    </row>
    <row r="14" spans="1:3" x14ac:dyDescent="0.25">
      <c r="A14" t="s">
        <v>12</v>
      </c>
      <c r="B14" s="6">
        <v>0.12498974615778347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0.87873</v>
      </c>
      <c r="C19" s="8" t="s">
        <v>19</v>
      </c>
    </row>
    <row r="20" spans="1:2" x14ac:dyDescent="0.25">
      <c r="A20" t="s">
        <v>20</v>
      </c>
      <c r="B20" s="10">
        <f>B17+B19*B18</f>
        <v>0.09831015000000001</v>
      </c>
    </row>
    <row r="21" spans="1:3" x14ac:dyDescent="0.25">
      <c r="A21" t="s">
        <v>21</v>
      </c>
      <c r="B21" s="6">
        <v>0.05051462621885157</v>
      </c>
      <c r="C21" s="8" t="s">
        <v>22</v>
      </c>
    </row>
    <row r="22" spans="1:2" x14ac:dyDescent="0.25">
      <c r="A22" t="s">
        <v>23</v>
      </c>
      <c r="B22" s="11">
        <v>25895092224</v>
      </c>
    </row>
    <row r="23" spans="1:2" x14ac:dyDescent="0.25">
      <c r="A23" t="s">
        <v>24</v>
      </c>
      <c r="B23" s="11">
        <v>15784000000</v>
      </c>
    </row>
    <row r="24" spans="1:2" x14ac:dyDescent="0.25">
      <c r="A24" t="s">
        <v>25</v>
      </c>
      <c r="B24" s="10">
        <f>B22/(B22+B23)</f>
        <v>0.6212969343197181</v>
      </c>
    </row>
    <row r="25" spans="1:2" x14ac:dyDescent="0.25">
      <c r="A25" t="s">
        <v>26</v>
      </c>
      <c r="B25" s="10">
        <f>1-B24</f>
        <v>0.3787030656802819</v>
      </c>
    </row>
    <row r="26" spans="1:2" x14ac:dyDescent="0.25">
      <c r="A26" t="s">
        <v>27</v>
      </c>
      <c r="B26" s="12">
        <f>B24*B20+B25*B21*(1-B8)</f>
        <v>0.0772102339177248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13017000000</v>
      </c>
      <c r="C29" s="8" t="s">
        <v>30</v>
      </c>
    </row>
    <row r="30" spans="1:2" x14ac:dyDescent="0.25">
      <c r="A30" t="s">
        <v>31</v>
      </c>
      <c r="B30" s="11">
        <v>11943000000</v>
      </c>
    </row>
    <row r="31" spans="1:2" x14ac:dyDescent="0.25">
      <c r="A31" t="s">
        <v>32</v>
      </c>
      <c r="B31" s="13">
        <v>693000000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0.4685532350721122</v>
      </c>
      <c r="C5" s="10">
        <f>Assumptions!B6</f>
        <v>0.4685532350721122</v>
      </c>
      <c r="D5" s="10">
        <f>Assumptions!B6</f>
        <v>0.4685532350721122</v>
      </c>
      <c r="E5" s="10">
        <f>Assumptions!B6</f>
        <v>0.4685532350721122</v>
      </c>
      <c r="F5" s="10">
        <f>Assumptions!B6</f>
        <v>0.4685532350721122</v>
      </c>
    </row>
    <row r="6" spans="1:6" x14ac:dyDescent="0.25">
      <c r="A6" t="s">
        <v>43</v>
      </c>
      <c r="B6" s="18">
        <f>Assumptions!B29*(1+B5)</f>
        <v>19116157460.933685</v>
      </c>
      <c r="C6" s="18">
        <f>B6*(1+C5)</f>
        <v>28073094881.402058</v>
      </c>
      <c r="D6" s="18">
        <f>C6*(1+D5)</f>
        <v>41226834306.56934</v>
      </c>
      <c r="E6" s="18">
        <f>D6*(1+E5)</f>
        <v>60543800892.69435</v>
      </c>
      <c r="F6" s="18">
        <f>E6*(1+F5)</f>
        <v>88911794664.52812</v>
      </c>
    </row>
    <row r="7" spans="1:6" x14ac:dyDescent="0.25">
      <c r="A7" t="s">
        <v>5</v>
      </c>
      <c r="B7" s="10">
        <f>Assumptions!B7</f>
        <v>0.12381986418158636</v>
      </c>
      <c r="C7" s="10">
        <f>Assumptions!B7</f>
        <v>0.12381986418158636</v>
      </c>
      <c r="D7" s="10">
        <f>Assumptions!B7</f>
        <v>0.12381986418158636</v>
      </c>
      <c r="E7" s="10">
        <f>Assumptions!B7</f>
        <v>0.12381986418158636</v>
      </c>
      <c r="F7" s="10">
        <f>Assumptions!B7</f>
        <v>0.12381986418158636</v>
      </c>
    </row>
    <row r="8" spans="1:6" x14ac:dyDescent="0.25">
      <c r="A8" t="s">
        <v>44</v>
      </c>
      <c r="B8" s="18">
        <f>B6*B7</f>
        <v>2366960020.4866276</v>
      </c>
      <c r="C8" s="18">
        <f>C6*C7</f>
        <v>3476006795.37199</v>
      </c>
      <c r="D8" s="18">
        <f>D6*D7</f>
        <v>5104701024.476181</v>
      </c>
      <c r="E8" s="18">
        <f>E6*E7</f>
        <v>7496525203.570421</v>
      </c>
      <c r="F8" s="18">
        <f>F6*F7</f>
        <v>11009046339.502966</v>
      </c>
    </row>
    <row r="9" spans="1:6" x14ac:dyDescent="0.25">
      <c r="A9" t="s">
        <v>45</v>
      </c>
      <c r="B9" s="18">
        <f>B8*(1-Assumptions!B8)</f>
        <v>1995818977.96116</v>
      </c>
      <c r="C9" s="18">
        <f>C8*(1-Assumptions!B8)</f>
        <v>2930966416.7031784</v>
      </c>
      <c r="D9" s="18">
        <f>D8*(1-Assumptions!B8)</f>
        <v>4304280213.137168</v>
      </c>
      <c r="E9" s="18">
        <f>E8*(1-Assumptions!B8)</f>
        <v>6321064631.65947</v>
      </c>
      <c r="F9" s="18">
        <f>F8*(1-Assumptions!B8)</f>
        <v>9282819913.923422</v>
      </c>
    </row>
    <row r="10" spans="1:6" x14ac:dyDescent="0.25">
      <c r="A10" t="s">
        <v>46</v>
      </c>
      <c r="B10" s="18">
        <f>B6*Assumptions!B9</f>
        <v>2995978437.26352</v>
      </c>
      <c r="C10" s="18">
        <f>C6*Assumptions!B9</f>
        <v>4399753826.249633</v>
      </c>
      <c r="D10" s="18">
        <f>D6*Assumptions!B9</f>
        <v>6461272715.059802</v>
      </c>
      <c r="E10" s="18">
        <f>E6*Assumptions!B9</f>
        <v>9488722948.384243</v>
      </c>
      <c r="F10" s="18">
        <f>F6*Assumptions!B9</f>
        <v>13934694782.55267</v>
      </c>
    </row>
    <row r="11" spans="1:6" x14ac:dyDescent="0.25">
      <c r="A11" t="s">
        <v>47</v>
      </c>
      <c r="B11" s="18">
        <f>-B6*Assumptions!B10</f>
        <v>-2610841606.6802177</v>
      </c>
      <c r="C11" s="18">
        <f>-C6*Assumptions!B10</f>
        <v>-3834159887.751105</v>
      </c>
      <c r="D11" s="18">
        <f>-D6*Assumptions!B10</f>
        <v>-5630667906.940611</v>
      </c>
      <c r="E11" s="18">
        <f>-E6*Assumptions!B10</f>
        <v>-8268935570.354354</v>
      </c>
      <c r="F11" s="18">
        <f>-F6*Assumptions!B10</f>
        <v>-12143372082.446747</v>
      </c>
    </row>
    <row r="12" spans="1:6" x14ac:dyDescent="0.25">
      <c r="A12" t="s">
        <v>48</v>
      </c>
      <c r="B12" s="18">
        <f>-(B6-Assumptions!B29)*Assumptions!B11</f>
        <v>125144699.52239743</v>
      </c>
      <c r="C12" s="18">
        <f>-(C6-B6)*Assumptions!B11</f>
        <v>183781653.33574414</v>
      </c>
      <c r="D12" s="18">
        <f>-(D6-C6)*Assumptions!B11</f>
        <v>269893141.55310845</v>
      </c>
      <c r="E12" s="18">
        <f>-(E6-D6)*Assumptions!B11</f>
        <v>396352446.151593</v>
      </c>
      <c r="F12" s="18">
        <f>-(F6-E6)*Assumptions!B11</f>
        <v>582064667.024667</v>
      </c>
    </row>
    <row r="13" spans="1:6" x14ac:dyDescent="0.25">
      <c r="A13" s="19" t="s">
        <v>49</v>
      </c>
      <c r="B13" s="20">
        <f>B9+B10+B11+B12</f>
        <v>2506100508.0668597</v>
      </c>
      <c r="C13" s="20">
        <f>C9+C10+C11+C12</f>
        <v>3680342008.537451</v>
      </c>
      <c r="D13" s="20">
        <f>D9+D10+D11+D12</f>
        <v>5404778162.809467</v>
      </c>
      <c r="E13" s="20">
        <f>E9+E10+E11+E12</f>
        <v>7937204455.840952</v>
      </c>
      <c r="F13" s="20">
        <f>F9+F10+F11+F12</f>
        <v>11656207281.05401</v>
      </c>
    </row>
    <row r="14" spans="1:6" x14ac:dyDescent="0.25">
      <c r="A14" t="s">
        <v>50</v>
      </c>
      <c r="B14" s="21">
        <f>1/(1+Assumptions!$B$26)^(1-0.5*Assumptions!$B$32)</f>
        <v>0.9634956641945429</v>
      </c>
      <c r="C14" s="21">
        <f>1/(1+Assumptions!$B$26)^(2-0.5*Assumptions!$B$32)</f>
        <v>0.8944360477252326</v>
      </c>
      <c r="D14" s="21">
        <f>1/(1+Assumptions!$B$26)^(3-0.5*Assumptions!$B$32)</f>
        <v>0.8303263555826447</v>
      </c>
      <c r="E14" s="21">
        <f>1/(1+Assumptions!$B$26)^(4-0.5*Assumptions!$B$32)</f>
        <v>0.7708117964706074</v>
      </c>
      <c r="F14" s="21">
        <f>1/(1+Assumptions!$B$26)^(5-0.5*Assumptions!$B$32)</f>
        <v>0.7155630091511742</v>
      </c>
    </row>
    <row r="15" spans="1:6" x14ac:dyDescent="0.25">
      <c r="A15" s="19" t="s">
        <v>51</v>
      </c>
      <c r="B15" s="20">
        <f>B13*B14</f>
        <v>2414616973.5581603</v>
      </c>
      <c r="C15" s="20">
        <f>C13*C14</f>
        <v>3291830560.3933816</v>
      </c>
      <c r="D15" s="20">
        <f>D13*D14</f>
        <v>4487729754.658247</v>
      </c>
      <c r="E15" s="20">
        <f>E13*E14</f>
        <v>6118090825.561274</v>
      </c>
      <c r="F15" s="20">
        <f>F13*F14</f>
        <v>8340750757.320834</v>
      </c>
    </row>
    <row r="17" spans="1:2" x14ac:dyDescent="0.25">
      <c r="A17" s="22" t="s">
        <v>52</v>
      </c>
      <c r="B17" s="23">
        <f>SUM(B15:F15)</f>
        <v>24653018871.491898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11656207281.05401</v>
      </c>
    </row>
    <row r="5" spans="1:2" x14ac:dyDescent="0.25">
      <c r="A5" t="s">
        <v>56</v>
      </c>
      <c r="B5" s="18">
        <f>IF(Assumptions!$B$33=0,B4,B4-Forecast!F11-Forecast!F10-Forecast!F12)</f>
        <v>9282819913.923422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0.20001640749346525</v>
      </c>
    </row>
    <row r="7" spans="1:2" x14ac:dyDescent="0.25">
      <c r="A7" t="s">
        <v>58</v>
      </c>
      <c r="B7" s="18">
        <f>-MAX(Forecast!F9,0)*B6</f>
        <v>-1856716290.591761</v>
      </c>
    </row>
    <row r="8" spans="1:2" x14ac:dyDescent="0.25">
      <c r="A8" t="s">
        <v>59</v>
      </c>
      <c r="B8" s="18">
        <f>IF(OR(Assumptions!$B$33=0,Assumptions!B12&lt;=0),B5,MAX(B5+B7,0))</f>
        <v>7426103623.331661</v>
      </c>
    </row>
    <row r="9" spans="1:2" x14ac:dyDescent="0.25">
      <c r="A9" t="s">
        <v>60</v>
      </c>
      <c r="B9" s="18">
        <f>B8*(1+Assumptions!B12)/(Assumptions!B26-Assumptions!B12)</f>
        <v>145790502028.96802</v>
      </c>
    </row>
    <row r="10" spans="1:2" x14ac:dyDescent="0.25">
      <c r="A10" t="s">
        <v>61</v>
      </c>
      <c r="B10" s="18">
        <f>B9/(1+Assumptions!B26)^(5-0.5*Assumptions!B32)</f>
        <v>104322290337.50873</v>
      </c>
    </row>
    <row r="11" spans="1:2" x14ac:dyDescent="0.25">
      <c r="A11" t="s">
        <v>62</v>
      </c>
      <c r="B11" s="18">
        <f>Forecast!B17+B10</f>
        <v>128975309209.00063</v>
      </c>
    </row>
    <row r="12" spans="1:2" x14ac:dyDescent="0.25">
      <c r="A12" t="s">
        <v>63</v>
      </c>
      <c r="B12" s="18">
        <f>-Assumptions!B30</f>
        <v>-11943000000</v>
      </c>
    </row>
    <row r="13" spans="1:2" x14ac:dyDescent="0.25">
      <c r="A13" t="s">
        <v>64</v>
      </c>
      <c r="B13" s="18">
        <f>B11+B12</f>
        <v>117032309209.00063</v>
      </c>
    </row>
    <row r="14" spans="1:2" x14ac:dyDescent="0.25">
      <c r="A14" s="19" t="s">
        <v>65</v>
      </c>
      <c r="B14" s="24">
        <f>B13/Assumptions!B31</f>
        <v>168.87779106637896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24943741122.055634</v>
      </c>
    </row>
    <row r="18" spans="1:2" x14ac:dyDescent="0.25">
      <c r="A18" t="s">
        <v>60</v>
      </c>
      <c r="B18" s="18">
        <f>B17*Assumptions!B13</f>
        <v>203893622162.00525</v>
      </c>
    </row>
    <row r="19" spans="1:2" x14ac:dyDescent="0.25">
      <c r="A19" t="s">
        <v>61</v>
      </c>
      <c r="B19" s="18">
        <f>B18/(1+Assumptions!B26)^(5-0.5*Assumptions!B32)</f>
        <v>145898733820.97702</v>
      </c>
    </row>
    <row r="20" spans="1:2" x14ac:dyDescent="0.25">
      <c r="A20" t="s">
        <v>62</v>
      </c>
      <c r="B20" s="18">
        <f>Forecast!B17+B19</f>
        <v>170551752692.46893</v>
      </c>
    </row>
    <row r="21" spans="1:2" x14ac:dyDescent="0.25">
      <c r="A21" t="s">
        <v>63</v>
      </c>
      <c r="B21" s="18">
        <f>-Assumptions!B30</f>
        <v>-11943000000</v>
      </c>
    </row>
    <row r="22" spans="1:2" x14ac:dyDescent="0.25">
      <c r="A22" t="s">
        <v>64</v>
      </c>
      <c r="B22" s="18">
        <f>B20+B21</f>
        <v>158608752692.46893</v>
      </c>
    </row>
    <row r="23" spans="1:2" x14ac:dyDescent="0.25">
      <c r="A23" s="19" t="s">
        <v>65</v>
      </c>
      <c r="B23" s="25">
        <f>B22/Assumptions!B31</f>
        <v>228.87265900789168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39.98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168.87779106637896</v>
      </c>
    </row>
    <row r="29" spans="1:2" x14ac:dyDescent="0.25">
      <c r="A29" s="19" t="s">
        <v>73</v>
      </c>
      <c r="B29" s="12">
        <f>B28/B26-1</f>
        <v>3.2240568050620055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0.05721</v>
      </c>
      <c r="B5" s="31">
        <v>241.1501760362852</v>
      </c>
      <c r="C5" s="31">
        <v>260.6001548170694</v>
      </c>
      <c r="D5" s="31">
        <v>285.9591076315106</v>
      </c>
      <c r="E5" s="31">
        <v>320.48446228206575</v>
      </c>
      <c r="F5" s="31">
        <v>370.36694490748823</v>
      </c>
    </row>
    <row r="6" spans="1:6" x14ac:dyDescent="0.25">
      <c r="A6" s="30">
        <v>0.06721</v>
      </c>
      <c r="B6" s="31">
        <v>190.3918023910851</v>
      </c>
      <c r="C6" s="31">
        <v>200.79525594086886</v>
      </c>
      <c r="D6" s="31">
        <v>213.56866553692936</v>
      </c>
      <c r="E6" s="31">
        <v>229.6674017972227</v>
      </c>
      <c r="F6" s="31">
        <v>250.64004901120867</v>
      </c>
    </row>
    <row r="7" spans="1:6" x14ac:dyDescent="0.25">
      <c r="A7" s="30">
        <v>0.07721</v>
      </c>
      <c r="B7" s="31">
        <v>155.95967985040315</v>
      </c>
      <c r="C7" s="31">
        <v>161.88812827337034</v>
      </c>
      <c r="D7" s="32">
        <v>168.87863653688402</v>
      </c>
      <c r="E7" s="31">
        <v>177.26865216494747</v>
      </c>
      <c r="F7" s="31">
        <v>187.555512529469</v>
      </c>
    </row>
    <row r="8" spans="1:6" x14ac:dyDescent="0.25">
      <c r="A8" s="30">
        <v>0.08721</v>
      </c>
      <c r="B8" s="31">
        <v>131.0721218756337</v>
      </c>
      <c r="C8" s="31">
        <v>134.5528955375139</v>
      </c>
      <c r="D8" s="31">
        <v>138.53406409236507</v>
      </c>
      <c r="E8" s="31">
        <v>143.1468270401796</v>
      </c>
      <c r="F8" s="31">
        <v>148.5726422605678</v>
      </c>
    </row>
    <row r="9" spans="1:6" x14ac:dyDescent="0.25">
      <c r="A9" s="30">
        <v>0.09721</v>
      </c>
      <c r="B9" s="31">
        <v>112.24700591245282</v>
      </c>
      <c r="C9" s="31">
        <v>114.29493163551781</v>
      </c>
      <c r="D9" s="31">
        <v>116.57758319015446</v>
      </c>
      <c r="E9" s="31">
        <v>119.14734693960591</v>
      </c>
      <c r="F9" s="31">
        <v>122.07345102922226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13017000000</v>
      </c>
      <c r="C5" s="18">
        <v>11298000000</v>
      </c>
      <c r="D5" s="18">
        <v>10372000000</v>
      </c>
      <c r="E5" s="18">
        <v>4110000000</v>
      </c>
      <c r="F5" s="8" t="s">
        <v>84</v>
      </c>
    </row>
    <row r="6" spans="1:6" x14ac:dyDescent="0.25">
      <c r="A6" t="s">
        <v>44</v>
      </c>
      <c r="B6" s="18">
        <v>3089000000</v>
      </c>
      <c r="C6" s="18">
        <v>2466000000</v>
      </c>
      <c r="D6" s="18">
        <v>2355000000</v>
      </c>
      <c r="E6" s="18">
        <v>-770000000</v>
      </c>
      <c r="F6" s="8" t="s">
        <v>85</v>
      </c>
    </row>
    <row r="7" spans="1:6" x14ac:dyDescent="0.25">
      <c r="A7" t="s">
        <v>86</v>
      </c>
      <c r="B7" s="18">
        <v>1540000000</v>
      </c>
      <c r="C7" s="18">
        <v>1368000000</v>
      </c>
      <c r="D7" s="18">
        <v>1266000000</v>
      </c>
      <c r="E7" s="18">
        <v>1091000000</v>
      </c>
      <c r="F7" s="8" t="s">
        <v>87</v>
      </c>
    </row>
    <row r="8" spans="1:6" x14ac:dyDescent="0.25">
      <c r="A8" t="s">
        <v>88</v>
      </c>
      <c r="B8" s="18">
        <v>1243000000</v>
      </c>
      <c r="C8" s="18">
        <v>1580000000</v>
      </c>
      <c r="D8" s="18">
        <v>1257000000</v>
      </c>
      <c r="E8" s="18">
        <v>780000000</v>
      </c>
      <c r="F8" s="8" t="s">
        <v>89</v>
      </c>
    </row>
    <row r="9" spans="1:6" x14ac:dyDescent="0.25">
      <c r="A9" t="s">
        <v>90</v>
      </c>
      <c r="B9" s="18">
        <v>784000000</v>
      </c>
      <c r="C9" s="18">
        <v>-19000000</v>
      </c>
      <c r="D9" s="18">
        <v>-390000000</v>
      </c>
      <c r="E9" s="18">
        <v>-164000000</v>
      </c>
      <c r="F9" s="8" t="s">
        <v>91</v>
      </c>
    </row>
    <row r="10" spans="1:6" x14ac:dyDescent="0.25">
      <c r="A10" t="s">
        <v>92</v>
      </c>
      <c r="B10" s="18">
        <v>15784000000</v>
      </c>
      <c r="C10" s="18">
        <v>13752000000</v>
      </c>
      <c r="D10" s="18">
        <v>14029000000</v>
      </c>
      <c r="E10" s="18">
        <v>15978000000</v>
      </c>
      <c r="F10" s="8" t="s">
        <v>93</v>
      </c>
    </row>
    <row r="11" spans="1:6" x14ac:dyDescent="0.25">
      <c r="A11" t="s">
        <v>94</v>
      </c>
      <c r="B11" s="18">
        <v>3841000000</v>
      </c>
      <c r="C11" s="18">
        <v>3650000000</v>
      </c>
      <c r="D11" s="18">
        <v>5105000000</v>
      </c>
      <c r="E11" s="18">
        <v>6311000000</v>
      </c>
      <c r="F11" s="8" t="s">
        <v>95</v>
      </c>
    </row>
    <row r="12" spans="1:6" x14ac:dyDescent="0.25">
      <c r="A12" t="s">
        <v>32</v>
      </c>
      <c r="B12" s="34">
        <v>693000000</v>
      </c>
      <c r="C12" s="34">
        <v>737000000</v>
      </c>
      <c r="D12" s="34">
        <v>754000000</v>
      </c>
      <c r="E12" s="34">
        <v>764000000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2026-09-19T01:05:23Z</dcterms:modified>
</cp:coreProperties>
</file>