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<sst xmlns="http://schemas.openxmlformats.org/spreadsheetml/2006/main" count="119" uniqueCount="106">
  <si>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LyondellBasell Industries N.V. (LYB)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</si>
  <si>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</si>
  <si>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</si>
  <si>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</si>
  <si>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</si>
  <si>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</si>
  <si>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</si>
  <si>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</si>
  <si>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</si>
  <si>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</si>
  <si>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</si>
  <si>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</si>
  <si>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</si>
  <si>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</si>
  <si>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</si>
  <si>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</si>
  <si>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</si>
  <si>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</si>
  <si>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</si>
  <si>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</si>
  <si>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</si>
  <si>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</si>
  <si>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</si>
  <si>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</si>
  <si>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 rating at 1.7x interest cover, capped at 200bp because one year's cover is too noisy to charge more.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</si>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</sst>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0.10411513713395015</v>
      </c>
    </row>
    <row r="7" spans="1:2" x14ac:dyDescent="0.25">
      <c r="A7" t="s">
        <v>4</v>
      </c>
      <c r="B7" s="5">
        <v>0.07821027657127817</v>
      </c>
    </row>
    <row r="8" spans="1:2" x14ac:dyDescent="0.25">
      <c r="A8" t="s">
        <v>5</v>
      </c>
      <c r="B8" s="5">
        <v>0.18467336683417085</v>
      </c>
    </row>
    <row r="9" spans="1:2" x14ac:dyDescent="0.25">
      <c r="A9" t="s">
        <v>6</v>
      </c>
      <c r="B9" s="5">
        <v>0.0407012693136924</v>
      </c>
    </row>
    <row r="10" spans="1:3" x14ac:dyDescent="0.25">
      <c r="A10" t="s">
        <v>7</v>
      </c>
      <c r="B10" s="5">
        <v>0.050185137700502896</v>
      </c>
      <c r="C10" s="6" t="s">
        <v>8</v>
      </c>
    </row>
    <row r="11" spans="1:2" x14ac:dyDescent="0.25">
      <c r="A11" t="s">
        <v>9</v>
      </c>
      <c r="B11" s="5">
        <v>0.11367401320642098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15.02897989734354</v>
      </c>
    </row>
    <row r="14" spans="1:3" x14ac:dyDescent="0.25">
      <c r="A14" t="s">
        <v>12</v>
      </c>
      <c r="B14" s="5">
        <v>0.10403168942662185</v>
      </c>
      <c r="C14" s="6" t="s">
        <v>13</v>
      </c>
    </row>
    <row r="15" spans="1:3" x14ac:dyDescent="0.25">
      <c r="A15" t="s">
        <v>14</v>
      </c>
      <c r="B15" s="5">
        <v>0.0407012693136924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0.56182</v>
      </c>
      <c r="C19" s="6" t="s">
        <v>21</v>
      </c>
    </row>
    <row r="20" spans="1:2" x14ac:dyDescent="0.25">
      <c r="A20" t="s">
        <v>22</v>
      </c>
      <c r="B20" s="9">
        <f>B17+B19*B18</f>
        <v>0.072704986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22187364352</v>
      </c>
    </row>
    <row r="23" spans="1:2" x14ac:dyDescent="0.25">
      <c r="A23" t="s">
        <v>26</v>
      </c>
      <c r="B23" s="10">
        <v>14635000000</v>
      </c>
    </row>
    <row r="24" spans="1:2" x14ac:dyDescent="0.25">
      <c r="A24" t="s">
        <v>27</v>
      </c>
      <c r="B24" s="9">
        <f>B22/(B22+B23)</f>
        <v>0.6025513228836132</v>
      </c>
    </row>
    <row r="25" spans="1:2" x14ac:dyDescent="0.25">
      <c r="A25" t="s">
        <v>28</v>
      </c>
      <c r="B25" s="9">
        <f>1-B24</f>
        <v>0.39744867711638676</v>
      </c>
    </row>
    <row r="26" spans="1:2" x14ac:dyDescent="0.25">
      <c r="A26" t="s">
        <v>29</v>
      </c>
      <c r="B26" s="11">
        <f>B24*B20+B25*B21*(1-B8)</f>
        <v>0.06614852639712504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30153000000</v>
      </c>
      <c r="C29" s="6" t="s">
        <v>32</v>
      </c>
    </row>
    <row r="30" spans="1:2" x14ac:dyDescent="0.25">
      <c r="A30" t="s">
        <v>33</v>
      </c>
      <c r="B30" s="10">
        <v>11192000000</v>
      </c>
    </row>
    <row r="31" spans="1:2" x14ac:dyDescent="0.25">
      <c r="A31" t="s">
        <v>34</v>
      </c>
      <c r="B31" s="12">
        <v>322000000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0.10411513713395015</v>
      </c>
      <c r="C5" s="5">
        <v>-0.02669526241219977</v>
      </c>
      <c r="D5" s="5">
        <v>-0.0202333546106748</v>
      </c>
      <c r="E5" s="5">
        <v>-0.013771446809149828</v>
      </c>
      <c r="F5" s="5">
        <v>-0.007309539007624856</v>
      </c>
      <c r="G5" s="5">
        <v>-0.0008476312060998852</v>
      </c>
      <c r="H5" s="5">
        <v>0.005614276595425086</v>
      </c>
      <c r="I5" s="5">
        <v>0.01207618439695006</v>
      </c>
      <c r="J5" s="5">
        <v>0.018538092198475027</v>
      </c>
      <c r="K5" s="5">
        <v>0.025</v>
      </c>
    </row>
    <row r="6" spans="1:11" x14ac:dyDescent="0.25">
      <c r="A6" t="s">
        <v>50</v>
      </c>
      <c r="B6" s="18">
        <f>Assumptions!B29*(1+B5)</f>
        <v>33292383730</v>
      </c>
      <c r="C6" s="18">
        <f>B6*(1+C5)</f>
        <v>32403634810</v>
      </c>
      <c r="D6" s="18">
        <f>C6*(1+D5)</f>
        <v>31748000576.214466</v>
      </c>
      <c r="E6" s="18">
        <f>D6*(1+E5)</f>
        <v>31310784674.98227</v>
      </c>
      <c r="F6" s="18">
        <f>E6*(1+F5)</f>
        <v>31081917273.04114</v>
      </c>
      <c r="G6" s="18">
        <f>F6*(1+G5)</f>
        <v>31055571270.0151</v>
      </c>
      <c r="H6" s="18">
        <f>G6*(1+H5)</f>
        <v>31229925836.9539</v>
      </c>
      <c r="I6" s="18">
        <f>H6*(1+I5)</f>
        <v>31607064180.064034</v>
      </c>
      <c r="J6" s="18">
        <f>I6*(1+J5)</f>
        <v>32192998849.957176</v>
      </c>
      <c r="K6" s="18">
        <f>J6*(1+K5)</f>
        <v>32997823821.206104</v>
      </c>
    </row>
    <row r="7" spans="1:11" x14ac:dyDescent="0.25">
      <c r="A7" t="s">
        <v>4</v>
      </c>
      <c r="B7" s="9">
        <f>Assumptions!B7</f>
        <v>0.07821027657127817</v>
      </c>
      <c r="C7" s="9">
        <f>Assumptions!B7</f>
        <v>0.07821027657127817</v>
      </c>
      <c r="D7" s="9">
        <f>Assumptions!B7</f>
        <v>0.07821027657127817</v>
      </c>
      <c r="E7" s="9">
        <f>Assumptions!B7</f>
        <v>0.07821027657127817</v>
      </c>
      <c r="F7" s="9">
        <f>Assumptions!B7</f>
        <v>0.07821027657127817</v>
      </c>
      <c r="G7" s="9">
        <f>Assumptions!B7</f>
        <v>0.07821027657127817</v>
      </c>
      <c r="H7" s="9">
        <f>Assumptions!B7</f>
        <v>0.07821027657127817</v>
      </c>
      <c r="I7" s="9">
        <f>Assumptions!B7</f>
        <v>0.07821027657127817</v>
      </c>
      <c r="J7" s="9">
        <f>Assumptions!B7</f>
        <v>0.07821027657127817</v>
      </c>
      <c r="K7" s="9">
        <f>Assumptions!B7</f>
        <v>0.07821027657127817</v>
      </c>
    </row>
    <row r="8" spans="1:11" x14ac:dyDescent="0.25">
      <c r="A8" t="s">
        <v>51</v>
      </c>
      <c r="B8" s="18">
        <f>B6*B7</f>
        <v>2603806539.240422</v>
      </c>
      <c r="C8" s="18">
        <f>C6*C7</f>
        <v>2534297240.404797</v>
      </c>
      <c r="D8" s="18">
        <f>D6*D7</f>
        <v>2483019905.650832</v>
      </c>
      <c r="E8" s="18">
        <f>E6*E7</f>
        <v>2448825129.0941014</v>
      </c>
      <c r="F8" s="18">
        <f>F6*F7</f>
        <v>2430925346.290136</v>
      </c>
      <c r="G8" s="18">
        <f>G6*G7</f>
        <v>2428864818.106921</v>
      </c>
      <c r="H8" s="18">
        <f>H6*H7</f>
        <v>2442501137.0086703</v>
      </c>
      <c r="I8" s="18">
        <f>I6*I7</f>
        <v>2471997231.1289477</v>
      </c>
      <c r="J8" s="18">
        <f>J6*J7</f>
        <v>2517823343.7139907</v>
      </c>
      <c r="K8" s="18">
        <f>K6*K7</f>
        <v>2580768927.3068404</v>
      </c>
    </row>
    <row r="9" spans="1:11" x14ac:dyDescent="0.25">
      <c r="A9" t="s">
        <v>52</v>
      </c>
      <c r="B9" s="18">
        <f>B8*(1-Assumptions!B8)</f>
        <v>2122952819.0540624</v>
      </c>
      <c r="C9" s="18">
        <f>C8*(1-Assumptions!B8)</f>
        <v>2066280036.460695</v>
      </c>
      <c r="D9" s="18">
        <f>D8*(1-Assumptions!B8)</f>
        <v>2024472259.7580276</v>
      </c>
      <c r="E9" s="18">
        <f>E8*(1-Assumptions!B8)</f>
        <v>1996592347.7161705</v>
      </c>
      <c r="F9" s="18">
        <f>F8*(1-Assumptions!B8)</f>
        <v>1981998178.0682137</v>
      </c>
      <c r="G9" s="18">
        <f>G8*(1-Assumptions!B8)</f>
        <v>1980318174.5620499</v>
      </c>
      <c r="H9" s="18">
        <f>H8*(1-Assumptions!B8)</f>
        <v>1991436228.5409887</v>
      </c>
      <c r="I9" s="18">
        <f>I8*(1-Assumptions!B8)</f>
        <v>2015485179.6516168</v>
      </c>
      <c r="J9" s="18">
        <f>J8*(1-Assumptions!B8)</f>
        <v>2052848429.736658</v>
      </c>
      <c r="K9" s="18">
        <f>K8*(1-Assumptions!B8)</f>
        <v>2104169640.4800746</v>
      </c>
    </row>
    <row r="10" spans="1:11" x14ac:dyDescent="0.25">
      <c r="A10" t="s">
        <v>53</v>
      </c>
      <c r="B10" s="18">
        <f>B6*Assumptions!B9</f>
        <v>1355042276.289521</v>
      </c>
      <c r="C10" s="18">
        <f>C6*Assumptions!B9</f>
        <v>1318869067.1443477</v>
      </c>
      <c r="D10" s="18">
        <f>D6*Assumptions!B9</f>
        <v>1292183921.6237664</v>
      </c>
      <c r="E10" s="18">
        <f>E6*Assumptions!B9</f>
        <v>1274388679.479486</v>
      </c>
      <c r="F10" s="18">
        <f>F6*Assumptions!B9</f>
        <v>1265073485.715955</v>
      </c>
      <c r="G10" s="18">
        <f>G6*Assumptions!B9</f>
        <v>1264001169.9514527</v>
      </c>
      <c r="H10" s="18">
        <f>H6*Assumptions!B9</f>
        <v>1271097622.136501</v>
      </c>
      <c r="I10" s="18">
        <f>I6*Assumptions!B9</f>
        <v>1286447631.4079463</v>
      </c>
      <c r="J10" s="18">
        <f>J6*Assumptions!B9</f>
        <v>1310295916.2074966</v>
      </c>
      <c r="K10" s="18">
        <f>K6*Assumptions!B9</f>
        <v>1343053314.112684</v>
      </c>
    </row>
    <row r="11" spans="1:11" x14ac:dyDescent="0.25">
      <c r="A11" t="s">
        <v>54</v>
      </c>
      <c r="B11" s="18">
        <f>-B6*B19</f>
        <v>-1670782861.8680322</v>
      </c>
      <c r="C11" s="18">
        <f>-C6*C19</f>
        <v>-1647207410.7233765</v>
      </c>
      <c r="D11" s="18">
        <f>-D6*D19</f>
        <v>-1634479977.49679</v>
      </c>
      <c r="E11" s="18">
        <f>-E6*E19</f>
        <v>-1632288214.9267182</v>
      </c>
      <c r="F11" s="18">
        <f>-F6*F19</f>
        <v>-1640525821.2829635</v>
      </c>
      <c r="G11" s="18">
        <f>-G6*G19</f>
        <v>-1659287045.364667</v>
      </c>
      <c r="H11" s="18">
        <f>-H6*H19</f>
        <v>-1688867664.4454548</v>
      </c>
      <c r="I11" s="18">
        <f>-I6*I19</f>
        <v>-1729772387.3830445</v>
      </c>
      <c r="J11" s="18">
        <f>-J6*J19</f>
        <v>-1782728922.6835127</v>
      </c>
      <c r="K11" s="18">
        <f>-K6*K19</f>
        <v>-1848709247.433905</v>
      </c>
    </row>
    <row r="12" spans="1:11" x14ac:dyDescent="0.25">
      <c r="A12" t="s">
        <v>55</v>
      </c>
      <c r="B12" s="18">
        <f>-(B6-Assumptions!B29)*Assumptions!B11</f>
        <v>-356866347.58404315</v>
      </c>
      <c r="C12" s="18">
        <f>-(C6-B6)*Assumptions!B11</f>
        <v>101027656.46927239</v>
      </c>
      <c r="D12" s="18">
        <f>-(D6-C6)*Assumptions!B11</f>
        <v>74528574.54991849</v>
      </c>
      <c r="E12" s="18">
        <f>-(E6-D6)*Assumptions!B11</f>
        <v>49700086.130725995</v>
      </c>
      <c r="F12" s="18">
        <f>-(F6-E6)*Assumptions!B11</f>
        <v>26016276.070775017</v>
      </c>
      <c r="G12" s="18">
        <f>-(G6-F6)*Assumptions!B11</f>
        <v>2994855.895918812</v>
      </c>
      <c r="H12" s="18">
        <f>-(H6-G6)*Assumptions!B11</f>
        <v>-19819583.344801053</v>
      </c>
      <c r="I12" s="18">
        <f>-(I6-H6)*Assumptions!B11</f>
        <v>-42870828.99534912</v>
      </c>
      <c r="J12" s="18">
        <f>-(J6-I6)*Assumptions!B11</f>
        <v>-66605545.40353302</v>
      </c>
      <c r="K12" s="18">
        <f>-(K6-J6)*Assumptions!B11</f>
        <v>-91487684.41060804</v>
      </c>
    </row>
    <row r="13" spans="1:11" x14ac:dyDescent="0.25">
      <c r="A13" s="19" t="s">
        <v>56</v>
      </c>
      <c r="B13" s="20">
        <f>B9+B10+B11+B12</f>
        <v>1450345885.8915076</v>
      </c>
      <c r="C13" s="20">
        <f>C9+C10+C11+C12</f>
        <v>1838969349.3509383</v>
      </c>
      <c r="D13" s="20">
        <f>D9+D10+D11+D12</f>
        <v>1756704778.4349225</v>
      </c>
      <c r="E13" s="20">
        <f>E9+E10+E11+E12</f>
        <v>1688392898.3996646</v>
      </c>
      <c r="F13" s="20">
        <f>F9+F10+F11+F12</f>
        <v>1632562118.5719802</v>
      </c>
      <c r="G13" s="20">
        <f>G9+G10+G11+G12</f>
        <v>1588027155.0447545</v>
      </c>
      <c r="H13" s="20">
        <f>H9+H10+H11+H12</f>
        <v>1553846602.887234</v>
      </c>
      <c r="I13" s="20">
        <f>I9+I10+I11+I12</f>
        <v>1529289594.6811695</v>
      </c>
      <c r="J13" s="20">
        <f>J9+J10+J11+J12</f>
        <v>1513809877.857109</v>
      </c>
      <c r="K13" s="20">
        <f>K9+K10+K11+K12</f>
        <v>1507026022.7482457</v>
      </c>
    </row>
    <row r="14" spans="1:11" x14ac:dyDescent="0.25">
      <c r="A14" t="s">
        <v>57</v>
      </c>
      <c r="B14" s="21">
        <f>1/(1+Assumptions!$B$26)^(1-0.5*Assumptions!$B$32)</f>
        <v>0.9684810881172139</v>
      </c>
      <c r="C14" s="21">
        <f>1/(1+Assumptions!$B$26)^(2-0.5*Assumptions!$B$32)</f>
        <v>0.9083922775657138</v>
      </c>
      <c r="D14" s="21">
        <f>1/(1+Assumptions!$B$26)^(3-0.5*Assumptions!$B$32)</f>
        <v>0.8520316401275507</v>
      </c>
      <c r="E14" s="21">
        <f>1/(1+Assumptions!$B$26)^(4-0.5*Assumptions!$B$32)</f>
        <v>0.7991678636060705</v>
      </c>
      <c r="F14" s="21">
        <f>1/(1+Assumptions!$B$26)^(5-0.5*Assumptions!$B$32)</f>
        <v>0.7495839874268999</v>
      </c>
      <c r="G14" s="21">
        <f>1/(1+Assumptions!$B$26)^(6-0.5*Assumptions!$B$32)</f>
        <v>0.7030765122004122</v>
      </c>
      <c r="H14" s="21">
        <f>1/(1+Assumptions!$B$26)^(7-0.5*Assumptions!$B$32)</f>
        <v>0.6594545645308395</v>
      </c>
      <c r="I14" s="21">
        <f>1/(1+Assumptions!$B$26)^(8-0.5*Assumptions!$B$32)</f>
        <v>0.6185391136442859</v>
      </c>
      <c r="J14" s="21">
        <f>1/(1+Assumptions!$B$26)^(9-0.5*Assumptions!$B$32)</f>
        <v>0.5801622366205748</v>
      </c>
      <c r="K14" s="21">
        <f>1/(1+Assumptions!$B$26)^(10-0.5*Assumptions!$B$32)</f>
        <v>0.5441664292133277</v>
      </c>
    </row>
    <row r="15" spans="1:11" x14ac:dyDescent="0.25">
      <c r="A15" s="19" t="s">
        <v>58</v>
      </c>
      <c r="B15" s="20">
        <f>B13*B14</f>
        <v>1404632561.714532</v>
      </c>
      <c r="C15" s="20">
        <f>C13*C14</f>
        <v>1670505555.6304379</v>
      </c>
      <c r="D15" s="20">
        <f>D13*D14</f>
        <v>1496768053.5898125</v>
      </c>
      <c r="E15" s="20">
        <f>E13*E14</f>
        <v>1349309345.5417213</v>
      </c>
      <c r="F15" s="20">
        <f>F13*F14</f>
        <v>1223742422.5612924</v>
      </c>
      <c r="G15" s="20">
        <f>G13*G14</f>
        <v>1116504593.4484093</v>
      </c>
      <c r="H15" s="20">
        <f>H13*H14</f>
        <v>1024691234.8547251</v>
      </c>
      <c r="I15" s="20">
        <f>I13*I14</f>
        <v>945925430.3995199</v>
      </c>
      <c r="J15" s="20">
        <f>J13*J14</f>
        <v>878255324.5558995</v>
      </c>
      <c r="K15" s="20">
        <f>K13*K14</f>
        <v>820072969.530476</v>
      </c>
    </row>
    <row r="17" spans="1:2" x14ac:dyDescent="0.25">
      <c r="A17" s="22" t="s">
        <v>59</v>
      </c>
      <c r="B17" s="23">
        <f>SUM(B15:K15)</f>
        <v>11930407491.826826</v>
      </c>
    </row>
    <row r="19" spans="1:11" x14ac:dyDescent="0.25">
      <c r="A19" t="s">
        <v>7</v>
      </c>
      <c r="B19" s="9">
        <f>Assumptions!$B$10+($B$20-Assumptions!$B$10)*0/9</f>
        <v>0.050185137700502896</v>
      </c>
      <c r="C19" s="9">
        <f>Assumptions!$B$10+($B$20-Assumptions!$B$10)*1/9</f>
        <v>0.05083403205788001</v>
      </c>
      <c r="D19" s="9">
        <f>Assumptions!$B$10+($B$20-Assumptions!$B$10)*2/9</f>
        <v>0.05148292641525712</v>
      </c>
      <c r="E19" s="9">
        <f>Assumptions!$B$10+($B$20-Assumptions!$B$10)*3/9</f>
        <v>0.05213182077263423</v>
      </c>
      <c r="F19" s="9">
        <f>Assumptions!$B$10+($B$20-Assumptions!$B$10)*4/9</f>
        <v>0.05278071513001134</v>
      </c>
      <c r="G19" s="9">
        <f>Assumptions!$B$10+($B$20-Assumptions!$B$10)*5/9</f>
        <v>0.05342960948738845</v>
      </c>
      <c r="H19" s="9">
        <f>Assumptions!$B$10+($B$20-Assumptions!$B$10)*6/9</f>
        <v>0.05407850384476556</v>
      </c>
      <c r="I19" s="9">
        <f>Assumptions!$B$10+($B$20-Assumptions!$B$10)*7/9</f>
        <v>0.054727398202142674</v>
      </c>
      <c r="J19" s="9">
        <f>Assumptions!$B$10+($B$20-Assumptions!$B$10)*8/9</f>
        <v>0.055376292559519785</v>
      </c>
      <c r="K19" s="9">
        <f>Assumptions!$B$10+($B$20-Assumptions!$B$10)*9/9</f>
        <v>0.056025186916896896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0.056025186916896896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1507026022.7482457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2104169640.4800746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0.24031139105583407</v>
      </c>
    </row>
    <row r="7" spans="1:2" x14ac:dyDescent="0.25">
      <c r="A7" t="s">
        <v>66</v>
      </c>
      <c r="B7" s="18">
        <f>-MAX(B5,0)*B6</f>
        <v>-505655933.321221</v>
      </c>
    </row>
    <row r="8" spans="1:2" x14ac:dyDescent="0.25">
      <c r="A8" t="s">
        <v>67</v>
      </c>
      <c r="B8" s="18">
        <f>IF(OR(Assumptions!$B$33=0,Assumptions!B12&lt;=0),B5,MAX(B5+B7,0))</f>
        <v>1598513707.1588535</v>
      </c>
    </row>
    <row r="9" spans="1:2" x14ac:dyDescent="0.25">
      <c r="A9" t="s">
        <v>68</v>
      </c>
      <c r="B9" s="18">
        <f>B8*(1+Assumptions!B12)/(Assumptions!B26-Assumptions!B12)</f>
        <v>39818596030.022156</v>
      </c>
    </row>
    <row r="10" spans="1:2" x14ac:dyDescent="0.25">
      <c r="A10" t="s">
        <v>69</v>
      </c>
      <c r="B10" s="18">
        <f>B9/(1+Assumptions!B26)^(10-0.5*Assumptions!B32)</f>
        <v>21667943217.94514</v>
      </c>
    </row>
    <row r="11" spans="1:2" x14ac:dyDescent="0.25">
      <c r="A11" t="s">
        <v>70</v>
      </c>
      <c r="B11" s="18">
        <f>Forecast!B17+B10</f>
        <v>33598350709.771965</v>
      </c>
    </row>
    <row r="12" spans="1:2" x14ac:dyDescent="0.25">
      <c r="A12" t="s">
        <v>71</v>
      </c>
      <c r="B12" s="18">
        <f>-Assumptions!B30</f>
        <v>-11192000000</v>
      </c>
    </row>
    <row r="13" spans="1:2" x14ac:dyDescent="0.25">
      <c r="A13" t="s">
        <v>72</v>
      </c>
      <c r="B13" s="18">
        <f>B11+B12</f>
        <v>22406350709.771965</v>
      </c>
    </row>
    <row r="14" spans="1:2" x14ac:dyDescent="0.25">
      <c r="A14" s="19" t="s">
        <v>73</v>
      </c>
      <c r="B14" s="24">
        <f>B13/Assumptions!B31</f>
        <v>69.58494009245952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3923822241.419524</v>
      </c>
    </row>
    <row r="18" spans="1:2" x14ac:dyDescent="0.25">
      <c r="A18" t="s">
        <v>68</v>
      </c>
      <c r="B18" s="18">
        <f>B17*Assumptions!B13</f>
        <v>58971045587.043495</v>
      </c>
    </row>
    <row r="19" spans="1:2" x14ac:dyDescent="0.25">
      <c r="A19" t="s">
        <v>69</v>
      </c>
      <c r="B19" s="18">
        <f>B18/(1+Assumptions!B26)^(10-0.5*Assumptions!B32)</f>
        <v>32090063304.077824</v>
      </c>
    </row>
    <row r="20" spans="1:2" x14ac:dyDescent="0.25">
      <c r="A20" t="s">
        <v>70</v>
      </c>
      <c r="B20" s="18">
        <f>Forecast!B17+B19</f>
        <v>44020470795.90465</v>
      </c>
    </row>
    <row r="21" spans="1:2" x14ac:dyDescent="0.25">
      <c r="A21" t="s">
        <v>71</v>
      </c>
      <c r="B21" s="18">
        <f>-Assumptions!B30</f>
        <v>-11192000000</v>
      </c>
    </row>
    <row r="22" spans="1:2" x14ac:dyDescent="0.25">
      <c r="A22" t="s">
        <v>72</v>
      </c>
      <c r="B22" s="18">
        <f>B20+B21</f>
        <v>32828470795.904648</v>
      </c>
    </row>
    <row r="23" spans="1:2" x14ac:dyDescent="0.25">
      <c r="A23" s="19" t="s">
        <v>73</v>
      </c>
      <c r="B23" s="25">
        <f>B22/Assumptions!B31</f>
        <v>101.95177265808897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68.64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69.58494009245952</v>
      </c>
    </row>
    <row r="29" spans="1:2" x14ac:dyDescent="0.25">
      <c r="A29" s="19" t="s">
        <v>81</v>
      </c>
      <c r="B29" s="11">
        <f>B28/B26-1</f>
        <v>0.01376660973862931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0.046149</v>
      </c>
      <c r="B5" s="31">
        <v>126.5029548062394</v>
      </c>
      <c r="C5" s="31">
        <v>140.80059019713312</v>
      </c>
      <c r="D5" s="31">
        <v>162.2901278400944</v>
      </c>
      <c r="E5" s="31">
        <v>197.6517667431739</v>
      </c>
      <c r="F5" s="31">
        <v>265.549200412675</v>
      </c>
    </row>
    <row r="6" spans="1:6" x14ac:dyDescent="0.25">
      <c r="A6" s="30">
        <v>0.056149</v>
      </c>
      <c r="B6" s="31">
        <v>88.06399997716532</v>
      </c>
      <c r="C6" s="31">
        <v>93.55651902801542</v>
      </c>
      <c r="D6" s="31">
        <v>101.08910282767863</v>
      </c>
      <c r="E6" s="31">
        <v>111.83200535268163</v>
      </c>
      <c r="F6" s="31">
        <v>128.06215605028422</v>
      </c>
    </row>
    <row r="7" spans="1:6" x14ac:dyDescent="0.25">
      <c r="A7" s="30">
        <v>0.066149</v>
      </c>
      <c r="B7" s="31">
        <v>64.65493239241744</v>
      </c>
      <c r="C7" s="31">
        <v>66.76404316122043</v>
      </c>
      <c r="D7" s="32">
        <v>69.58380943460641</v>
      </c>
      <c r="E7" s="31">
        <v>73.40911717259486</v>
      </c>
      <c r="F7" s="31">
        <v>78.72419129312978</v>
      </c>
    </row>
    <row r="8" spans="1:6" x14ac:dyDescent="0.25">
      <c r="A8" s="30">
        <v>0.076149</v>
      </c>
      <c r="B8" s="31">
        <v>48.90103181394046</v>
      </c>
      <c r="C8" s="31">
        <v>49.49637838917736</v>
      </c>
      <c r="D8" s="31">
        <v>50.35895169941233</v>
      </c>
      <c r="E8" s="31">
        <v>51.575609553589686</v>
      </c>
      <c r="F8" s="31">
        <v>53.27542600354874</v>
      </c>
    </row>
    <row r="9" spans="1:6" x14ac:dyDescent="0.25">
      <c r="A9" s="30">
        <v>0.086149</v>
      </c>
      <c r="B9" s="31">
        <v>37.573788985738354</v>
      </c>
      <c r="C9" s="31">
        <v>37.43416100881489</v>
      </c>
      <c r="D9" s="31">
        <v>37.39120947553147</v>
      </c>
      <c r="E9" s="31">
        <v>37.4707611442382</v>
      </c>
      <c r="F9" s="31">
        <v>37.70874140995462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30153000000</v>
      </c>
      <c r="C5" s="18">
        <v>33394000000</v>
      </c>
      <c r="D5" s="18">
        <v>33336000000</v>
      </c>
      <c r="E5" s="18">
        <v>50451000000</v>
      </c>
      <c r="F5" s="6" t="s">
        <v>91</v>
      </c>
    </row>
    <row r="6" spans="1:6" x14ac:dyDescent="0.25">
      <c r="A6" t="s">
        <v>51</v>
      </c>
      <c r="B6" s="18">
        <v>831000000</v>
      </c>
      <c r="C6" s="18">
        <v>2867000000</v>
      </c>
      <c r="D6" s="18">
        <v>3232000000</v>
      </c>
      <c r="E6" s="18">
        <v>5170000000</v>
      </c>
      <c r="F6" s="6" t="s">
        <v>92</v>
      </c>
    </row>
    <row r="7" spans="1:6" x14ac:dyDescent="0.25">
      <c r="A7" t="s">
        <v>93</v>
      </c>
      <c r="B7" s="18">
        <v>1390000000</v>
      </c>
      <c r="C7" s="18">
        <v>1522000000</v>
      </c>
      <c r="D7" s="18">
        <v>1534000000</v>
      </c>
      <c r="E7" s="18">
        <v>1267000000</v>
      </c>
      <c r="F7" s="6" t="s">
        <v>94</v>
      </c>
    </row>
    <row r="8" spans="1:6" x14ac:dyDescent="0.25">
      <c r="A8" t="s">
        <v>95</v>
      </c>
      <c r="B8" s="18">
        <v>1878000000</v>
      </c>
      <c r="C8" s="18">
        <v>1839000000</v>
      </c>
      <c r="D8" s="18">
        <v>1531000000</v>
      </c>
      <c r="E8" s="18">
        <v>1890000000</v>
      </c>
      <c r="F8" s="6" t="s">
        <v>96</v>
      </c>
    </row>
    <row r="9" spans="1:6" x14ac:dyDescent="0.25">
      <c r="A9" t="s">
        <v>97</v>
      </c>
      <c r="B9" s="18">
        <v>-864000000</v>
      </c>
      <c r="C9" s="18">
        <v>-30000000</v>
      </c>
      <c r="D9" s="18">
        <v>-269000000</v>
      </c>
      <c r="E9" s="18">
        <v>-450000000</v>
      </c>
      <c r="F9" s="6" t="s">
        <v>98</v>
      </c>
    </row>
    <row r="10" spans="1:6" x14ac:dyDescent="0.25">
      <c r="A10" t="s">
        <v>99</v>
      </c>
      <c r="B10" s="18">
        <v>14635000000</v>
      </c>
      <c r="C10" s="18">
        <v>12923000000</v>
      </c>
      <c r="D10" s="18">
        <v>13001000000</v>
      </c>
      <c r="E10" s="18">
        <v>13175000000</v>
      </c>
      <c r="F10" s="6" t="s">
        <v>100</v>
      </c>
    </row>
    <row r="11" spans="1:6" x14ac:dyDescent="0.25">
      <c r="A11" t="s">
        <v>101</v>
      </c>
      <c r="B11" s="18">
        <v>3443000000</v>
      </c>
      <c r="C11" s="18">
        <v>3375000000</v>
      </c>
      <c r="D11" s="18">
        <v>3390000000</v>
      </c>
      <c r="E11" s="18">
        <v>2151000000</v>
      </c>
      <c r="F11" s="6" t="s">
        <v>102</v>
      </c>
    </row>
    <row r="12" spans="1:6" x14ac:dyDescent="0.25">
      <c r="A12" t="s">
        <v>34</v>
      </c>
      <c r="B12" s="34">
        <v>322000000</v>
      </c>
      <c r="C12" s="34">
        <v>326000000</v>
      </c>
      <c r="D12" s="34">
        <v>326000000</v>
      </c>
      <c r="E12" s="34">
        <v>328000000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