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<sst xmlns="http://schemas.openxmlformats.org/spreadsheetml/2006/main" count="111" uniqueCount="99">
  <si>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LyondellBasell Industries N.V. (LYB)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</si>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</sst>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-0.15766098558982566</v>
      </c>
    </row>
    <row r="7" spans="1:2" x14ac:dyDescent="0.25">
      <c r="A7" t="s">
        <v>5</v>
      </c>
      <c r="B7" s="6">
        <v>0.07821027657127817</v>
      </c>
    </row>
    <row r="8" spans="1:2" x14ac:dyDescent="0.25">
      <c r="A8" t="s">
        <v>6</v>
      </c>
      <c r="B8" s="6">
        <v>0.18467336683417085</v>
      </c>
    </row>
    <row r="9" spans="1:2" x14ac:dyDescent="0.25">
      <c r="A9" t="s">
        <v>7</v>
      </c>
      <c r="B9" s="6">
        <v>0.0407012693136924</v>
      </c>
    </row>
    <row r="10" spans="1:2" x14ac:dyDescent="0.25">
      <c r="A10" t="s">
        <v>8</v>
      </c>
      <c r="B10" s="6">
        <v>0.050185137700502896</v>
      </c>
    </row>
    <row r="11" spans="1:2" x14ac:dyDescent="0.25">
      <c r="A11" t="s">
        <v>9</v>
      </c>
      <c r="B11" s="6">
        <v>0.015717207128250074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14.046708934714093</v>
      </c>
    </row>
    <row r="14" spans="1:3" x14ac:dyDescent="0.25">
      <c r="A14" t="s">
        <v>12</v>
      </c>
      <c r="B14" s="6">
        <v>0.10403168942662185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0.56651</v>
      </c>
      <c r="C19" s="8" t="s">
        <v>19</v>
      </c>
    </row>
    <row r="20" spans="1:2" x14ac:dyDescent="0.25">
      <c r="A20" t="s">
        <v>20</v>
      </c>
      <c r="B20" s="10">
        <f>B17+B19*B18</f>
        <v>0.08113805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20005740544</v>
      </c>
    </row>
    <row r="23" spans="1:2" x14ac:dyDescent="0.25">
      <c r="A23" t="s">
        <v>24</v>
      </c>
      <c r="B23" s="11">
        <v>14635000000</v>
      </c>
    </row>
    <row r="24" spans="1:2" x14ac:dyDescent="0.25">
      <c r="A24" t="s">
        <v>25</v>
      </c>
      <c r="B24" s="10">
        <f>B22/(B22+B23)</f>
        <v>0.5775205792321066</v>
      </c>
    </row>
    <row r="25" spans="1:2" x14ac:dyDescent="0.25">
      <c r="A25" t="s">
        <v>26</v>
      </c>
      <c r="B25" s="10">
        <f>1-B24</f>
        <v>0.42247942076789335</v>
      </c>
    </row>
    <row r="26" spans="1:2" x14ac:dyDescent="0.25">
      <c r="A26" t="s">
        <v>27</v>
      </c>
      <c r="B26" s="12">
        <f>B24*B20+B25*B21*(1-B8)</f>
        <v>0.06407494064511611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30153000000</v>
      </c>
      <c r="C29" s="8" t="s">
        <v>30</v>
      </c>
    </row>
    <row r="30" spans="1:2" x14ac:dyDescent="0.25">
      <c r="A30" t="s">
        <v>31</v>
      </c>
      <c r="B30" s="11">
        <v>11192000000</v>
      </c>
    </row>
    <row r="31" spans="1:2" x14ac:dyDescent="0.25">
      <c r="A31" t="s">
        <v>32</v>
      </c>
      <c r="B31" s="13">
        <v>322000000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-0.15766098558982566</v>
      </c>
      <c r="C5" s="10">
        <f>Assumptions!B6</f>
        <v>-0.15766098558982566</v>
      </c>
      <c r="D5" s="10">
        <f>Assumptions!B6</f>
        <v>-0.15766098558982566</v>
      </c>
      <c r="E5" s="10">
        <f>Assumptions!B6</f>
        <v>-0.15766098558982566</v>
      </c>
      <c r="F5" s="10">
        <f>Assumptions!B6</f>
        <v>-0.15766098558982566</v>
      </c>
    </row>
    <row r="6" spans="1:6" x14ac:dyDescent="0.25">
      <c r="A6" t="s">
        <v>43</v>
      </c>
      <c r="B6" s="18">
        <f>Assumptions!B29*(1+B5)</f>
        <v>25399048301.509987</v>
      </c>
      <c r="C6" s="18">
        <f>B6*(1+C5)</f>
        <v>21394609313.250336</v>
      </c>
      <c r="D6" s="18">
        <f>C6*(1+D5)</f>
        <v>18021514122.614025</v>
      </c>
      <c r="E6" s="18">
        <f>D6*(1+E5)</f>
        <v>15180224444.221735</v>
      </c>
      <c r="F6" s="18">
        <f>E6*(1+F5)</f>
        <v>12786895296.870974</v>
      </c>
    </row>
    <row r="7" spans="1:6" x14ac:dyDescent="0.25">
      <c r="A7" t="s">
        <v>5</v>
      </c>
      <c r="B7" s="10">
        <f>Assumptions!B7</f>
        <v>0.07821027657127817</v>
      </c>
      <c r="C7" s="10">
        <f>Assumptions!B7</f>
        <v>0.07821027657127817</v>
      </c>
      <c r="D7" s="10">
        <f>Assumptions!B7</f>
        <v>0.07821027657127817</v>
      </c>
      <c r="E7" s="10">
        <f>Assumptions!B7</f>
        <v>0.07821027657127817</v>
      </c>
      <c r="F7" s="10">
        <f>Assumptions!B7</f>
        <v>0.07821027657127817</v>
      </c>
    </row>
    <row r="8" spans="1:6" x14ac:dyDescent="0.25">
      <c r="A8" t="s">
        <v>44</v>
      </c>
      <c r="B8" s="18">
        <f>B6*B7</f>
        <v>1986466592.3083491</v>
      </c>
      <c r="C8" s="18">
        <f>C6*C7</f>
        <v>1673278311.5237525</v>
      </c>
      <c r="D8" s="18">
        <f>D6*D7</f>
        <v>1409467603.7628384</v>
      </c>
      <c r="E8" s="18">
        <f>E6*E7</f>
        <v>1187249552.1966593</v>
      </c>
      <c r="F8" s="18">
        <f>F6*F7</f>
        <v>1000066617.656255</v>
      </c>
    </row>
    <row r="9" spans="1:6" x14ac:dyDescent="0.25">
      <c r="A9" t="s">
        <v>45</v>
      </c>
      <c r="B9" s="18">
        <f>B8*(1-Assumptions!B8)</f>
        <v>1619619118.603164</v>
      </c>
      <c r="C9" s="18">
        <f>C8*(1-Assumptions!B8)</f>
        <v>1364268372.0840645</v>
      </c>
      <c r="D9" s="18">
        <f>D8*(1-Assumptions!B8)</f>
        <v>1149176475.9322639</v>
      </c>
      <c r="E9" s="18">
        <f>E8*(1-Assumptions!B8)</f>
        <v>967996180.1201406</v>
      </c>
      <c r="F9" s="18">
        <f>F8*(1-Assumptions!B8)</f>
        <v>815380948.3152128</v>
      </c>
    </row>
    <row r="10" spans="1:6" x14ac:dyDescent="0.25">
      <c r="A10" t="s">
        <v>46</v>
      </c>
      <c r="B10" s="18">
        <f>B6*Assumptions!B9</f>
        <v>1033773505.2312394</v>
      </c>
      <c r="C10" s="18">
        <f>C6*Assumptions!B9</f>
        <v>870787755.5198334</v>
      </c>
      <c r="D10" s="18">
        <f>D6*Assumptions!B9</f>
        <v>733498499.7450243</v>
      </c>
      <c r="E10" s="18">
        <f>E6*Assumptions!B9</f>
        <v>617854403.3465654</v>
      </c>
      <c r="F10" s="18">
        <f>F6*Assumptions!B9</f>
        <v>520442869.1639322</v>
      </c>
    </row>
    <row r="11" spans="1:6" x14ac:dyDescent="0.25">
      <c r="A11" t="s">
        <v>47</v>
      </c>
      <c r="B11" s="18">
        <f>-B6*Assumptions!B10</f>
        <v>-1274654736.473003</v>
      </c>
      <c r="C11" s="18">
        <f>-C6*Assumptions!B10</f>
        <v>-1073691414.4339298</v>
      </c>
      <c r="D11" s="18">
        <f>-D6*Assumptions!B10</f>
        <v>-904412167.8149425</v>
      </c>
      <c r="E11" s="18">
        <f>-E6*Assumptions!B10</f>
        <v>-761821654.0578078</v>
      </c>
      <c r="F11" s="18">
        <f>-F6*Assumptions!B10</f>
        <v>-641712101.2353827</v>
      </c>
    </row>
    <row r="12" spans="1:6" x14ac:dyDescent="0.25">
      <c r="A12" t="s">
        <v>48</v>
      </c>
      <c r="B12" s="18">
        <f>-(B6-Assumptions!B29)*Assumptions!B11</f>
        <v>74718843.52286378</v>
      </c>
      <c r="C12" s="18">
        <f>-(C6-B6)*Assumptions!B11</f>
        <v>62938597.010917105</v>
      </c>
      <c r="D12" s="18">
        <f>-(D6-C6)*Assumptions!B11</f>
        <v>53015635.77453506</v>
      </c>
      <c r="E12" s="18">
        <f>-(E6-D6)*Assumptions!B11</f>
        <v>44657138.38665067</v>
      </c>
      <c r="F12" s="18">
        <f>-(F6-E6)*Assumptions!B11</f>
        <v>37616449.934990056</v>
      </c>
    </row>
    <row r="13" spans="1:6" x14ac:dyDescent="0.25">
      <c r="A13" s="19" t="s">
        <v>49</v>
      </c>
      <c r="B13" s="20">
        <f>B9+B10+B11+B12</f>
        <v>1453456730.8842645</v>
      </c>
      <c r="C13" s="20">
        <f>C9+C10+C11+C12</f>
        <v>1224303310.1808853</v>
      </c>
      <c r="D13" s="20">
        <f>D9+D10+D11+D12</f>
        <v>1031278443.6368806</v>
      </c>
      <c r="E13" s="20">
        <f>E9+E10+E11+E12</f>
        <v>868686067.7955487</v>
      </c>
      <c r="F13" s="20">
        <f>F9+F10+F11+F12</f>
        <v>731728166.1787524</v>
      </c>
    </row>
    <row r="14" spans="1:6" x14ac:dyDescent="0.25">
      <c r="A14" t="s">
        <v>50</v>
      </c>
      <c r="B14" s="21">
        <f>1/(1+Assumptions!$B$26)^(1-0.5*Assumptions!$B$32)</f>
        <v>0.9694242788133248</v>
      </c>
      <c r="C14" s="21">
        <f>1/(1+Assumptions!$B$26)^(2-0.5*Assumptions!$B$32)</f>
        <v>0.9110488761492611</v>
      </c>
      <c r="D14" s="21">
        <f>1/(1+Assumptions!$B$26)^(3-0.5*Assumptions!$B$32)</f>
        <v>0.8561886398686542</v>
      </c>
      <c r="E14" s="21">
        <f>1/(1+Assumptions!$B$26)^(4-0.5*Assumptions!$B$32)</f>
        <v>0.8046318987171835</v>
      </c>
      <c r="F14" s="21">
        <f>1/(1+Assumptions!$B$26)^(5-0.5*Assumptions!$B$32)</f>
        <v>0.756179727556933</v>
      </c>
    </row>
    <row r="15" spans="1:6" x14ac:dyDescent="0.25">
      <c r="A15" s="19" t="s">
        <v>51</v>
      </c>
      <c r="B15" s="20">
        <f>B13*B14</f>
        <v>1409016243.1238508</v>
      </c>
      <c r="C15" s="20">
        <f>C13*C14</f>
        <v>1115400154.8061159</v>
      </c>
      <c r="D15" s="20">
        <f>D13*D14</f>
        <v>882968887.9833235</v>
      </c>
      <c r="E15" s="20">
        <f>E13*E14</f>
        <v>698972520.1194963</v>
      </c>
      <c r="F15" s="20">
        <f>F13*F14</f>
        <v>553318005.3467832</v>
      </c>
    </row>
    <row r="17" spans="1:2" x14ac:dyDescent="0.25">
      <c r="A17" s="22" t="s">
        <v>52</v>
      </c>
      <c r="B17" s="23">
        <f>SUM(B15:F15)</f>
        <v>4659675811.37957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731728166.1787524</v>
      </c>
    </row>
    <row r="5" spans="1:2" x14ac:dyDescent="0.25">
      <c r="A5" t="s">
        <v>56</v>
      </c>
      <c r="B5" s="18">
        <f>IF(Assumptions!$B$33=0,B4,B4-Forecast!F11-Forecast!F10-Forecast!F12)</f>
        <v>815380948.3152128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0.24031139105583407</v>
      </c>
    </row>
    <row r="7" spans="1:2" x14ac:dyDescent="0.25">
      <c r="A7" t="s">
        <v>58</v>
      </c>
      <c r="B7" s="18">
        <f>-MAX(Forecast!F9,0)*B6</f>
        <v>-195945329.93005395</v>
      </c>
    </row>
    <row r="8" spans="1:2" x14ac:dyDescent="0.25">
      <c r="A8" t="s">
        <v>59</v>
      </c>
      <c r="B8" s="18">
        <f>IF(OR(Assumptions!$B$33=0,Assumptions!B12&lt;=0),B5,MAX(B5+B7,0))</f>
        <v>619435618.3851589</v>
      </c>
    </row>
    <row r="9" spans="1:2" x14ac:dyDescent="0.25">
      <c r="A9" t="s">
        <v>60</v>
      </c>
      <c r="B9" s="18">
        <f>B8*(1+Assumptions!B12)/(Assumptions!B26-Assumptions!B12)</f>
        <v>16248815695.236258</v>
      </c>
    </row>
    <row r="10" spans="1:2" x14ac:dyDescent="0.25">
      <c r="A10" t="s">
        <v>61</v>
      </c>
      <c r="B10" s="18">
        <f>B9/(1+Assumptions!B26)^(5-0.5*Assumptions!B32)</f>
        <v>12287025025.54657</v>
      </c>
    </row>
    <row r="11" spans="1:2" x14ac:dyDescent="0.25">
      <c r="A11" t="s">
        <v>62</v>
      </c>
      <c r="B11" s="18">
        <f>Forecast!B17+B10</f>
        <v>16946700836.92614</v>
      </c>
    </row>
    <row r="12" spans="1:2" x14ac:dyDescent="0.25">
      <c r="A12" t="s">
        <v>63</v>
      </c>
      <c r="B12" s="18">
        <f>-Assumptions!B30</f>
        <v>-11192000000</v>
      </c>
    </row>
    <row r="13" spans="1:2" x14ac:dyDescent="0.25">
      <c r="A13" t="s">
        <v>64</v>
      </c>
      <c r="B13" s="18">
        <f>B11+B12</f>
        <v>5754700836.92614</v>
      </c>
    </row>
    <row r="14" spans="1:2" x14ac:dyDescent="0.25">
      <c r="A14" s="19" t="s">
        <v>65</v>
      </c>
      <c r="B14" s="24">
        <f>B13/Assumptions!B31</f>
        <v>17.871741729584286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1520509486.820187</v>
      </c>
    </row>
    <row r="18" spans="1:2" x14ac:dyDescent="0.25">
      <c r="A18" t="s">
        <v>60</v>
      </c>
      <c r="B18" s="18">
        <f>B17*Assumptions!B13</f>
        <v>21358154193.834663</v>
      </c>
    </row>
    <row r="19" spans="1:2" x14ac:dyDescent="0.25">
      <c r="A19" t="s">
        <v>61</v>
      </c>
      <c r="B19" s="18">
        <f>B18/(1+Assumptions!B26)^(5-0.5*Assumptions!B32)</f>
        <v>16150603219.41286</v>
      </c>
    </row>
    <row r="20" spans="1:2" x14ac:dyDescent="0.25">
      <c r="A20" t="s">
        <v>62</v>
      </c>
      <c r="B20" s="18">
        <f>Forecast!B17+B19</f>
        <v>20810279030.79243</v>
      </c>
    </row>
    <row r="21" spans="1:2" x14ac:dyDescent="0.25">
      <c r="A21" t="s">
        <v>63</v>
      </c>
      <c r="B21" s="18">
        <f>-Assumptions!B30</f>
        <v>-11192000000</v>
      </c>
    </row>
    <row r="22" spans="1:2" x14ac:dyDescent="0.25">
      <c r="A22" t="s">
        <v>64</v>
      </c>
      <c r="B22" s="18">
        <f>B20+B21</f>
        <v>9618279030.79243</v>
      </c>
    </row>
    <row r="23" spans="1:2" x14ac:dyDescent="0.25">
      <c r="A23" s="19" t="s">
        <v>65</v>
      </c>
      <c r="B23" s="25">
        <f>B22/Assumptions!B31</f>
        <v>29.8704317726473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61.93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17.871741729584286</v>
      </c>
    </row>
    <row r="29" spans="1:2" x14ac:dyDescent="0.25">
      <c r="A29" s="19" t="s">
        <v>73</v>
      </c>
      <c r="B29" s="12">
        <f>B28/B26-1</f>
        <v>-0.7114202853288505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0.044075</v>
      </c>
      <c r="B5" s="31">
        <v>42.597504552807294</v>
      </c>
      <c r="C5" s="31">
        <v>51.661695102376086</v>
      </c>
      <c r="D5" s="31">
        <v>65.42520740268259</v>
      </c>
      <c r="E5" s="31">
        <v>88.89619962502805</v>
      </c>
      <c r="F5" s="31">
        <v>138.12009312815465</v>
      </c>
    </row>
    <row r="6" spans="1:6" x14ac:dyDescent="0.25">
      <c r="A6" s="30">
        <v>0.054075</v>
      </c>
      <c r="B6" s="31">
        <v>24.41134143084974</v>
      </c>
      <c r="C6" s="31">
        <v>28.30503988034817</v>
      </c>
      <c r="D6" s="31">
        <v>33.504902665069366</v>
      </c>
      <c r="E6" s="31">
        <v>40.82473933966929</v>
      </c>
      <c r="F6" s="31">
        <v>51.93163291060563</v>
      </c>
    </row>
    <row r="7" spans="1:6" x14ac:dyDescent="0.25">
      <c r="A7" s="30">
        <v>0.064075</v>
      </c>
      <c r="B7" s="31">
        <v>13.606612438478464</v>
      </c>
      <c r="C7" s="31">
        <v>15.507662161209296</v>
      </c>
      <c r="D7" s="32">
        <v>17.87167253924731</v>
      </c>
      <c r="E7" s="31">
        <v>20.902441366564876</v>
      </c>
      <c r="F7" s="31">
        <v>24.943954085610574</v>
      </c>
    </row>
    <row r="8" spans="1:6" x14ac:dyDescent="0.25">
      <c r="A8" s="30">
        <v>0.074075</v>
      </c>
      <c r="B8" s="31">
        <v>6.4358977219412665</v>
      </c>
      <c r="C8" s="31">
        <v>7.412889045352924</v>
      </c>
      <c r="D8" s="31">
        <v>8.570981499918185</v>
      </c>
      <c r="E8" s="31">
        <v>9.971809049727884</v>
      </c>
      <c r="F8" s="31">
        <v>11.708552153609068</v>
      </c>
    </row>
    <row r="9" spans="1:6" x14ac:dyDescent="0.25">
      <c r="A9" s="30">
        <v>0.084075</v>
      </c>
      <c r="B9" s="31">
        <v>1.3217844624517927</v>
      </c>
      <c r="C9" s="31">
        <v>1.8201130174702236</v>
      </c>
      <c r="D9" s="31">
        <v>2.3884703667544014</v>
      </c>
      <c r="E9" s="31">
        <v>3.0462819733461415</v>
      </c>
      <c r="F9" s="31">
        <v>3.8208899434015855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30153000000</v>
      </c>
      <c r="C5" s="18">
        <v>33394000000</v>
      </c>
      <c r="D5" s="18">
        <v>33336000000</v>
      </c>
      <c r="E5" s="18">
        <v>50451000000</v>
      </c>
      <c r="F5" s="8" t="s">
        <v>84</v>
      </c>
    </row>
    <row r="6" spans="1:6" x14ac:dyDescent="0.25">
      <c r="A6" t="s">
        <v>44</v>
      </c>
      <c r="B6" s="18">
        <v>831000000</v>
      </c>
      <c r="C6" s="18">
        <v>2867000000</v>
      </c>
      <c r="D6" s="18">
        <v>3232000000</v>
      </c>
      <c r="E6" s="18">
        <v>5170000000</v>
      </c>
      <c r="F6" s="8" t="s">
        <v>85</v>
      </c>
    </row>
    <row r="7" spans="1:6" x14ac:dyDescent="0.25">
      <c r="A7" t="s">
        <v>86</v>
      </c>
      <c r="B7" s="18">
        <v>1390000000</v>
      </c>
      <c r="C7" s="18">
        <v>1522000000</v>
      </c>
      <c r="D7" s="18">
        <v>1534000000</v>
      </c>
      <c r="E7" s="18">
        <v>1267000000</v>
      </c>
      <c r="F7" s="8" t="s">
        <v>87</v>
      </c>
    </row>
    <row r="8" spans="1:6" x14ac:dyDescent="0.25">
      <c r="A8" t="s">
        <v>88</v>
      </c>
      <c r="B8" s="18">
        <v>1878000000</v>
      </c>
      <c r="C8" s="18">
        <v>1839000000</v>
      </c>
      <c r="D8" s="18">
        <v>1531000000</v>
      </c>
      <c r="E8" s="18">
        <v>1890000000</v>
      </c>
      <c r="F8" s="8" t="s">
        <v>89</v>
      </c>
    </row>
    <row r="9" spans="1:6" x14ac:dyDescent="0.25">
      <c r="A9" t="s">
        <v>90</v>
      </c>
      <c r="B9" s="18">
        <v>-864000000</v>
      </c>
      <c r="C9" s="18">
        <v>-30000000</v>
      </c>
      <c r="D9" s="18">
        <v>-269000000</v>
      </c>
      <c r="E9" s="18">
        <v>-450000000</v>
      </c>
      <c r="F9" s="8" t="s">
        <v>91</v>
      </c>
    </row>
    <row r="10" spans="1:6" x14ac:dyDescent="0.25">
      <c r="A10" t="s">
        <v>92</v>
      </c>
      <c r="B10" s="18">
        <v>14635000000</v>
      </c>
      <c r="C10" s="18">
        <v>12923000000</v>
      </c>
      <c r="D10" s="18">
        <v>13001000000</v>
      </c>
      <c r="E10" s="18">
        <v>13175000000</v>
      </c>
      <c r="F10" s="8" t="s">
        <v>93</v>
      </c>
    </row>
    <row r="11" spans="1:6" x14ac:dyDescent="0.25">
      <c r="A11" t="s">
        <v>94</v>
      </c>
      <c r="B11" s="18">
        <v>3443000000</v>
      </c>
      <c r="C11" s="18">
        <v>3375000000</v>
      </c>
      <c r="D11" s="18">
        <v>3390000000</v>
      </c>
      <c r="E11" s="18">
        <v>2151000000</v>
      </c>
      <c r="F11" s="8" t="s">
        <v>95</v>
      </c>
    </row>
    <row r="12" spans="1:6" x14ac:dyDescent="0.25">
      <c r="A12" t="s">
        <v>32</v>
      </c>
      <c r="B12" s="34">
        <v>322000000</v>
      </c>
      <c r="C12" s="34">
        <v>326000000</v>
      </c>
      <c r="D12" s="34">
        <v>326000000</v>
      </c>
      <c r="E12" s="34">
        <v>328000000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