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<sst xmlns="http://schemas.openxmlformats.org/spreadsheetml/2006/main" count="116" uniqueCount="104">
  <si>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Lynas Rare Earths Limited (LYC.AX)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</si>
  <si>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</si>
  <si>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</si>
  <si>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</si>
  <si>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</si>
  <si>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</si>
  <si>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</si>
  <si>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</si>
  <si>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</si>
  <si>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</si>
  <si>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</si>
  <si>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</si>
  <si>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</si>
  <si>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</si>
  <si>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</si>
  <si>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</si>
  <si>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</si>
  <si>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</si>
  <si>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</si>
  <si>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</si>
  <si>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</si>
  <si>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</si>
  <si>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</si>
  <si>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</si>
  <si>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</si>
  <si>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</si>
  <si>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</si>
  <si>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</si>
  <si>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</si>
  <si>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</si>
  <si>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</si>
  <si>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</si>
  <si>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</si>
  <si>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</si>
  <si>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</si>
  <si>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</si>
  <si>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</si>
  <si>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</si>
  <si>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</si>
  <si>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</si>
  <si>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</si>
  <si>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</si>
  <si>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</si>
  <si>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</si>
  <si>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</si>
  <si>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</si>
  <si>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</si>
  <si>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</si>
  <si>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</si>
  <si>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</si>
  <si>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</si>
  <si>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</si>
  <si>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</si>
  <si>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</si>
  <si>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</si>
  <si>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</si>
  <si>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</si>
  <si>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</si>
  <si>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</si>
  <si>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</si>
  <si>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</si>
  <si>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</si>
  <si>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</si>
  <si>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</si>
  <si>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</si>
  <si>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</si>
  <si>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</si>
  <si>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</si>
  <si>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</si>
  <si>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</si>
  <si>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</si>
  <si>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</si>
  <si>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</si>
  <si>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</si>
  <si>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</si>
  <si>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</si>
  <si>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</si>
  <si>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</si>
  <si>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</si>
  <si>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</si>
  <si>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</si>
  <si>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</si>
  <si>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</si>
  <si>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</si>
  <si>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</si>
  <si>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</si>
  <si>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</si>
  <si>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</si>
  <si>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</si>
  <si>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</si>
  <si>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</si>
  <si>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</si>
  <si>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</si>
  <si>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</si>
  <si>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</si>
  <si>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</si>
  <si>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</si>
  <si>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</si>
  <si>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2.7%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</si>
  <si>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</si>
  <si>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</si>
  <si>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74.5% of revenue against depreciation of 13.0%. A perpetuity has to be a steady state, so the terminal year uses maintenance capex at depreciation and then charges the reinvestment terminal growth requires (g/ROIC of NOPAT). The bridge is shown under Terminal Value.</t>
  </si>
  <si>
    <t>Current EV/EBITDA of 34.9x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</si>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</sst>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0.07503831389150495</v>
      </c>
    </row>
    <row r="7" spans="1:2" x14ac:dyDescent="0.25">
      <c r="A7" t="s">
        <v>5</v>
      </c>
      <c r="B7" s="6">
        <v>0.2111091384382303</v>
      </c>
    </row>
    <row r="8" spans="1:2" x14ac:dyDescent="0.25">
      <c r="A8" t="s">
        <v>6</v>
      </c>
      <c r="B8" s="6">
        <v>0.15560734155426706</v>
      </c>
    </row>
    <row r="9" spans="1:2" x14ac:dyDescent="0.25">
      <c r="A9" t="s">
        <v>7</v>
      </c>
      <c r="B9" s="6">
        <v>0.1295916002950885</v>
      </c>
    </row>
    <row r="10" spans="1:2" x14ac:dyDescent="0.25">
      <c r="A10" t="s">
        <v>8</v>
      </c>
      <c r="B10" s="6">
        <v>0.7450350293940742</v>
      </c>
    </row>
    <row r="11" spans="1:2" x14ac:dyDescent="0.25">
      <c r="A11" t="s">
        <v>9</v>
      </c>
      <c r="B11" s="6">
        <v>0.16740488880720455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0.10015691788267274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0.7989999999999999</v>
      </c>
      <c r="C19" s="8" t="s">
        <v>19</v>
      </c>
    </row>
    <row r="20" spans="1:2" x14ac:dyDescent="0.25">
      <c r="A20" t="s">
        <v>20</v>
      </c>
      <c r="B20" s="10">
        <f>B17+B19*B18</f>
        <v>0.10142</v>
      </c>
    </row>
    <row r="21" spans="1:3" x14ac:dyDescent="0.25">
      <c r="A21" t="s">
        <v>21</v>
      </c>
      <c r="B21" s="6">
        <v>0.05475756039246311</v>
      </c>
      <c r="C21" s="8" t="s">
        <v>22</v>
      </c>
    </row>
    <row r="22" spans="1:2" x14ac:dyDescent="0.25">
      <c r="A22" t="s">
        <v>23</v>
      </c>
      <c r="B22" s="11">
        <v>14443312128</v>
      </c>
    </row>
    <row r="23" spans="1:2" x14ac:dyDescent="0.25">
      <c r="A23" t="s">
        <v>24</v>
      </c>
      <c r="B23" s="11">
        <v>338336000</v>
      </c>
    </row>
    <row r="24" spans="1:2" x14ac:dyDescent="0.25">
      <c r="A24" t="s">
        <v>25</v>
      </c>
      <c r="B24" s="10">
        <f>B22/(B22+B23)</f>
        <v>0.9771110773933855</v>
      </c>
    </row>
    <row r="25" spans="1:2" x14ac:dyDescent="0.25">
      <c r="A25" t="s">
        <v>26</v>
      </c>
      <c r="B25" s="10">
        <f>1-B24</f>
        <v>0.02288892260661446</v>
      </c>
    </row>
    <row r="26" spans="1:2" x14ac:dyDescent="0.25">
      <c r="A26" t="s">
        <v>27</v>
      </c>
      <c r="B26" s="12">
        <f>B24*B20+B25*B21*(1-B8)</f>
        <v>0.10015691788267274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977945000</v>
      </c>
      <c r="C29" s="8" t="s">
        <v>30</v>
      </c>
    </row>
    <row r="30" spans="1:2" x14ac:dyDescent="0.25">
      <c r="A30" t="s">
        <v>31</v>
      </c>
      <c r="B30" s="11">
        <v>-870763000</v>
      </c>
    </row>
    <row r="31" spans="1:2" x14ac:dyDescent="0.25">
      <c r="A31" t="s">
        <v>32</v>
      </c>
      <c r="B31" s="13">
        <v>1007941976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0.07503831389150495</v>
      </c>
      <c r="C5" s="10">
        <f>Assumptions!B6</f>
        <v>0.07503831389150495</v>
      </c>
      <c r="D5" s="10">
        <f>Assumptions!B6</f>
        <v>0.07503831389150495</v>
      </c>
      <c r="E5" s="10">
        <f>Assumptions!B6</f>
        <v>0.07503831389150495</v>
      </c>
      <c r="F5" s="10">
        <f>Assumptions!B6</f>
        <v>0.07503831389150495</v>
      </c>
    </row>
    <row r="6" spans="1:6" x14ac:dyDescent="0.25">
      <c r="A6" t="s">
        <v>43</v>
      </c>
      <c r="B6" s="18">
        <f>Assumptions!B29*(1+B5)</f>
        <v>1051328343.8786278</v>
      </c>
      <c r="C6" s="18">
        <f>B6*(1+C5)</f>
        <v>1130218250.1496284</v>
      </c>
      <c r="D6" s="18">
        <f>C6*(1+D5)</f>
        <v>1215027921.9702637</v>
      </c>
      <c r="E6" s="18">
        <f>D6*(1+E5)</f>
        <v>1306201568.5660114</v>
      </c>
      <c r="F6" s="18">
        <f>E6*(1+F5)</f>
        <v>1404216731.8736439</v>
      </c>
    </row>
    <row r="7" spans="1:6" x14ac:dyDescent="0.25">
      <c r="A7" t="s">
        <v>5</v>
      </c>
      <c r="B7" s="10">
        <f>Assumptions!B7</f>
        <v>0.2111091384382303</v>
      </c>
      <c r="C7" s="10">
        <f>Assumptions!B7</f>
        <v>0.2111091384382303</v>
      </c>
      <c r="D7" s="10">
        <f>Assumptions!B7</f>
        <v>0.2111091384382303</v>
      </c>
      <c r="E7" s="10">
        <f>Assumptions!B7</f>
        <v>0.2111091384382303</v>
      </c>
      <c r="F7" s="10">
        <f>Assumptions!B7</f>
        <v>0.2111091384382303</v>
      </c>
    </row>
    <row r="8" spans="1:6" x14ac:dyDescent="0.25">
      <c r="A8" t="s">
        <v>44</v>
      </c>
      <c r="B8" s="18">
        <f>B6*B7</f>
        <v>221945020.89190862</v>
      </c>
      <c r="C8" s="18">
        <f>C6*C7</f>
        <v>238599401.0362523</v>
      </c>
      <c r="D8" s="18">
        <f>D6*D7</f>
        <v>256503497.78553566</v>
      </c>
      <c r="E8" s="18">
        <f>E6*E7</f>
        <v>275751087.76663566</v>
      </c>
      <c r="F8" s="18">
        <f>F6*F7</f>
        <v>296442984.44639236</v>
      </c>
    </row>
    <row r="9" spans="1:6" x14ac:dyDescent="0.25">
      <c r="A9" t="s">
        <v>45</v>
      </c>
      <c r="B9" s="18">
        <f>B8*(1-Assumptions!B8)</f>
        <v>187408746.21971247</v>
      </c>
      <c r="C9" s="18">
        <f>C8*(1-Assumptions!B8)</f>
        <v>201471582.54456064</v>
      </c>
      <c r="D9" s="18">
        <f>D8*(1-Assumptions!B8)</f>
        <v>216589670.39575765</v>
      </c>
      <c r="E9" s="18">
        <f>E8*(1-Assumptions!B8)</f>
        <v>232842194.0685721</v>
      </c>
      <c r="F9" s="18">
        <f>F8*(1-Assumptions!B8)</f>
        <v>250314279.7142763</v>
      </c>
    </row>
    <row r="10" spans="1:6" x14ac:dyDescent="0.25">
      <c r="A10" t="s">
        <v>46</v>
      </c>
      <c r="B10" s="18">
        <f>B6*Assumptions!B9</f>
        <v>136243322.5188165</v>
      </c>
      <c r="C10" s="18">
        <f>C6*Assumptions!B9</f>
        <v>146466791.719605</v>
      </c>
      <c r="D10" s="18">
        <f>D6*Assumptions!B9</f>
        <v>157457412.81134242</v>
      </c>
      <c r="E10" s="18">
        <f>E6*Assumptions!B9</f>
        <v>169272751.57842422</v>
      </c>
      <c r="F10" s="18">
        <f>F6*Assumptions!B9</f>
        <v>181974693.44464472</v>
      </c>
    </row>
    <row r="11" spans="1:6" x14ac:dyDescent="0.25">
      <c r="A11" t="s">
        <v>47</v>
      </c>
      <c r="B11" s="18">
        <f>-B6*Assumptions!B10</f>
        <v>-783276443.5844368</v>
      </c>
      <c r="C11" s="18">
        <f>-C6*Assumptions!B10</f>
        <v>-842052187.2219474</v>
      </c>
      <c r="D11" s="18">
        <f>-D6*Assumptions!B10</f>
        <v>-905238363.5597363</v>
      </c>
      <c r="E11" s="18">
        <f>-E6*Assumptions!B10</f>
        <v>-973165924.0311642</v>
      </c>
      <c r="F11" s="18">
        <f>-F6*Assumptions!B10</f>
        <v>-1046190654.107131</v>
      </c>
    </row>
    <row r="12" spans="1:6" x14ac:dyDescent="0.25">
      <c r="A12" t="s">
        <v>48</v>
      </c>
      <c r="B12" s="18">
        <f>-(B6-Assumptions!B29)*Assumptions!B11</f>
        <v>-12284730.522302538</v>
      </c>
      <c r="C12" s="18">
        <f>-(C6-B6)*Assumptions!B11</f>
        <v>-13206555.98730765</v>
      </c>
      <c r="D12" s="18">
        <f>-(D6-C6)*Assumptions!B11</f>
        <v>-14197553.680908965</v>
      </c>
      <c r="E12" s="18">
        <f>-(E6-D6)*Assumptions!B11</f>
        <v>-15262914.17050851</v>
      </c>
      <c r="F12" s="18">
        <f>-(F6-E6)*Assumptions!B11</f>
        <v>-16408217.514934206</v>
      </c>
    </row>
    <row r="13" spans="1:6" x14ac:dyDescent="0.25">
      <c r="A13" s="19" t="s">
        <v>49</v>
      </c>
      <c r="B13" s="20">
        <f>B9+B10+B11+B12</f>
        <v>-471909105.3682103</v>
      </c>
      <c r="C13" s="20">
        <f>C9+C10+C11+C12</f>
        <v>-507320368.94508946</v>
      </c>
      <c r="D13" s="20">
        <f>D9+D10+D11+D12</f>
        <v>-545388834.0335451</v>
      </c>
      <c r="E13" s="20">
        <f>E9+E10+E11+E12</f>
        <v>-586313892.5546764</v>
      </c>
      <c r="F13" s="20">
        <f>F9+F10+F11+F12</f>
        <v>-630309898.4631442</v>
      </c>
    </row>
    <row r="14" spans="1:6" x14ac:dyDescent="0.25">
      <c r="A14" t="s">
        <v>50</v>
      </c>
      <c r="B14" s="21">
        <f>1/(1+Assumptions!$B$26)^(1-0.5*Assumptions!$B$32)</f>
        <v>0.9533945895522512</v>
      </c>
      <c r="C14" s="21">
        <f>1/(1+Assumptions!$B$26)^(2-0.5*Assumptions!$B$32)</f>
        <v>0.8665987315583349</v>
      </c>
      <c r="D14" s="21">
        <f>1/(1+Assumptions!$B$26)^(3-0.5*Assumptions!$B$32)</f>
        <v>0.7877046605552992</v>
      </c>
      <c r="E14" s="21">
        <f>1/(1+Assumptions!$B$26)^(4-0.5*Assumptions!$B$32)</f>
        <v>0.7159930076804777</v>
      </c>
      <c r="F14" s="21">
        <f>1/(1+Assumptions!$B$26)^(5-0.5*Assumptions!$B$32)</f>
        <v>0.6508098945180069</v>
      </c>
    </row>
    <row r="15" spans="1:6" x14ac:dyDescent="0.25">
      <c r="A15" s="19" t="s">
        <v>51</v>
      </c>
      <c r="B15" s="20">
        <f>B13*B14</f>
        <v>-449915587.8184949</v>
      </c>
      <c r="C15" s="20">
        <f>C13*C14</f>
        <v>-439643188.221521</v>
      </c>
      <c r="D15" s="20">
        <f>D13*D14</f>
        <v>-429605326.38304406</v>
      </c>
      <c r="E15" s="20">
        <f>E13*E14</f>
        <v>-419796647.3750712</v>
      </c>
      <c r="F15" s="20">
        <f>F13*F14</f>
        <v>-410211918.5324545</v>
      </c>
    </row>
    <row r="17" spans="1:2" x14ac:dyDescent="0.25">
      <c r="A17" s="22" t="s">
        <v>52</v>
      </c>
      <c r="B17" s="23">
        <f>SUM(B15:F15)</f>
        <v>-2149172668.3305855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-630309898.4631442</v>
      </c>
    </row>
    <row r="5" spans="1:2" x14ac:dyDescent="0.25">
      <c r="A5" t="s">
        <v>56</v>
      </c>
      <c r="B5" s="18">
        <f>IF(Assumptions!$B$33=0,B4,B4-Forecast!F11-Forecast!F10-Forecast!F12)</f>
        <v>250314279.7142763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0.24960831990942314</v>
      </c>
    </row>
    <row r="7" spans="1:2" x14ac:dyDescent="0.25">
      <c r="A7" t="s">
        <v>58</v>
      </c>
      <c r="B7" s="18">
        <f>-MAX(Forecast!F9,0)*B6</f>
        <v>-62480526.80881791</v>
      </c>
    </row>
    <row r="8" spans="1:2" x14ac:dyDescent="0.25">
      <c r="A8" t="s">
        <v>59</v>
      </c>
      <c r="B8" s="18">
        <f>IF(OR(Assumptions!$B$33=0,Assumptions!B12&lt;=0),B5,MAX(B5+B7,0))</f>
        <v>187833752.9054584</v>
      </c>
    </row>
    <row r="9" spans="1:2" x14ac:dyDescent="0.25">
      <c r="A9" t="s">
        <v>60</v>
      </c>
      <c r="B9" s="18">
        <f>B8*(1+Assumptions!B12)/(Assumptions!B26-Assumptions!B12)</f>
        <v>2561701599.1615343</v>
      </c>
    </row>
    <row r="10" spans="1:2" x14ac:dyDescent="0.25">
      <c r="A10" t="s">
        <v>61</v>
      </c>
      <c r="B10" s="18">
        <f>B9/(1+Assumptions!B26)^(5-0.5*Assumptions!B32)</f>
        <v>1667180747.5369277</v>
      </c>
    </row>
    <row r="11" spans="1:2" x14ac:dyDescent="0.25">
      <c r="A11" t="s">
        <v>62</v>
      </c>
      <c r="B11" s="18">
        <f>Forecast!B17+B10</f>
        <v>-481991920.7936578</v>
      </c>
    </row>
    <row r="12" spans="1:2" x14ac:dyDescent="0.25">
      <c r="A12" t="s">
        <v>63</v>
      </c>
      <c r="B12" s="18">
        <f>-Assumptions!B30</f>
        <v>870763000</v>
      </c>
    </row>
    <row r="13" spans="1:2" x14ac:dyDescent="0.25">
      <c r="A13" t="s">
        <v>64</v>
      </c>
      <c r="B13" s="18">
        <f>B11+B12</f>
        <v>388771079.2063422</v>
      </c>
    </row>
    <row r="14" spans="1:2" x14ac:dyDescent="0.25">
      <c r="A14" s="19" t="s">
        <v>65</v>
      </c>
      <c r="B14" s="24">
        <f>B13/Assumptions!B31</f>
        <v>0.3857077971384557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478417677.8910371</v>
      </c>
    </row>
    <row r="18" spans="1:2" x14ac:dyDescent="0.25">
      <c r="A18" t="s">
        <v>60</v>
      </c>
      <c r="B18" s="18">
        <f>B17*Assumptions!B13</f>
        <v>9568353557.820742</v>
      </c>
    </row>
    <row r="19" spans="1:2" x14ac:dyDescent="0.25">
      <c r="A19" t="s">
        <v>61</v>
      </c>
      <c r="B19" s="18">
        <f>B18/(1+Assumptions!B26)^(5-0.5*Assumptions!B32)</f>
        <v>6227179169.676312</v>
      </c>
    </row>
    <row r="20" spans="1:2" x14ac:dyDescent="0.25">
      <c r="A20" t="s">
        <v>62</v>
      </c>
      <c r="B20" s="18">
        <f>Forecast!B17+B19</f>
        <v>4078006501.345727</v>
      </c>
    </row>
    <row r="21" spans="1:2" x14ac:dyDescent="0.25">
      <c r="A21" t="s">
        <v>63</v>
      </c>
      <c r="B21" s="18">
        <f>-Assumptions!B30</f>
        <v>870763000</v>
      </c>
    </row>
    <row r="22" spans="1:2" x14ac:dyDescent="0.25">
      <c r="A22" t="s">
        <v>64</v>
      </c>
      <c r="B22" s="18">
        <f>B20+B21</f>
        <v>4948769501.345727</v>
      </c>
    </row>
    <row r="23" spans="1:2" x14ac:dyDescent="0.25">
      <c r="A23" s="19" t="s">
        <v>65</v>
      </c>
      <c r="B23" s="25">
        <f>B22/Assumptions!B31</f>
        <v>4.909776176784334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14.35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0.3857077971384557</v>
      </c>
    </row>
    <row r="29" spans="1:2" x14ac:dyDescent="0.25">
      <c r="A29" s="19" t="s">
        <v>73</v>
      </c>
      <c r="B29" s="12">
        <f>B28/B26-1</f>
        <v>-0.973121407864916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0.080157</v>
      </c>
      <c r="B5" s="31">
        <v>0.8554432145847741</v>
      </c>
      <c r="C5" s="31">
        <v>0.8663925475656521</v>
      </c>
      <c r="D5" s="31">
        <v>0.8773418805465283</v>
      </c>
      <c r="E5" s="31">
        <v>0.8882912135274058</v>
      </c>
      <c r="F5" s="31">
        <v>0.8992405465082823</v>
      </c>
    </row>
    <row r="6" spans="1:6" x14ac:dyDescent="0.25">
      <c r="A6" s="30">
        <v>0.090157</v>
      </c>
      <c r="B6" s="31">
        <v>0.5790697841383073</v>
      </c>
      <c r="C6" s="31">
        <v>0.588409204668634</v>
      </c>
      <c r="D6" s="31">
        <v>0.5977486251989604</v>
      </c>
      <c r="E6" s="31">
        <v>0.6070880457292865</v>
      </c>
      <c r="F6" s="31">
        <v>0.6164274662596132</v>
      </c>
    </row>
    <row r="7" spans="1:6" x14ac:dyDescent="0.25">
      <c r="A7" s="30">
        <v>0.100157</v>
      </c>
      <c r="B7" s="31">
        <v>0.3695692764104844</v>
      </c>
      <c r="C7" s="31">
        <v>0.37763777619181943</v>
      </c>
      <c r="D7" s="32">
        <v>0.38570627597315377</v>
      </c>
      <c r="E7" s="31">
        <v>0.39377477575448877</v>
      </c>
      <c r="F7" s="31">
        <v>0.4018432755358233</v>
      </c>
    </row>
    <row r="8" spans="1:6" x14ac:dyDescent="0.25">
      <c r="A8" s="30">
        <v>0.110157</v>
      </c>
      <c r="B8" s="31">
        <v>0.20811112027467235</v>
      </c>
      <c r="C8" s="31">
        <v>0.21515445276850995</v>
      </c>
      <c r="D8" s="31">
        <v>0.22219778526234754</v>
      </c>
      <c r="E8" s="31">
        <v>0.22924111775618514</v>
      </c>
      <c r="F8" s="31">
        <v>0.2362844502500225</v>
      </c>
    </row>
    <row r="9" spans="1:6" x14ac:dyDescent="0.25">
      <c r="A9" s="30">
        <v>0.120157</v>
      </c>
      <c r="B9" s="31">
        <v>0.08217109479003029</v>
      </c>
      <c r="C9" s="31">
        <v>0.08837286947685875</v>
      </c>
      <c r="D9" s="31">
        <v>0.094574644163687</v>
      </c>
      <c r="E9" s="31">
        <v>0.10077641885051546</v>
      </c>
      <c r="F9" s="31">
        <v>0.10697819353734368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977945000</v>
      </c>
      <c r="C5" s="18">
        <v>542665000</v>
      </c>
      <c r="D5" s="18">
        <v>464446000</v>
      </c>
      <c r="E5" s="18">
        <v>787123000</v>
      </c>
      <c r="F5" s="8" t="s">
        <v>84</v>
      </c>
    </row>
    <row r="6" spans="1:6" x14ac:dyDescent="0.25">
      <c r="A6" t="s">
        <v>44</v>
      </c>
      <c r="B6" s="18">
        <v>250771000</v>
      </c>
      <c r="C6" s="18">
        <v>7345000</v>
      </c>
      <c r="D6" s="18">
        <v>71407000</v>
      </c>
      <c r="E6" s="18">
        <v>331165000</v>
      </c>
      <c r="F6" s="8" t="s">
        <v>85</v>
      </c>
    </row>
    <row r="7" spans="1:6" x14ac:dyDescent="0.25">
      <c r="A7" t="s">
        <v>86</v>
      </c>
      <c r="B7" s="18">
        <v>138681000</v>
      </c>
      <c r="C7" s="18">
        <v>94995000</v>
      </c>
      <c r="D7" s="18">
        <v>56898000</v>
      </c>
      <c r="E7" s="18">
        <v>62181000</v>
      </c>
      <c r="F7" s="8" t="s">
        <v>87</v>
      </c>
    </row>
    <row r="8" spans="1:6" x14ac:dyDescent="0.25">
      <c r="A8" t="s">
        <v>88</v>
      </c>
      <c r="B8" s="18">
        <v>178268000</v>
      </c>
      <c r="C8" s="18">
        <v>430823000</v>
      </c>
      <c r="D8" s="18">
        <v>579339000</v>
      </c>
      <c r="E8" s="18">
        <v>595516000</v>
      </c>
      <c r="F8" s="8" t="s">
        <v>89</v>
      </c>
    </row>
    <row r="9" spans="1:6" x14ac:dyDescent="0.25">
      <c r="A9" t="s">
        <v>90</v>
      </c>
      <c r="B9" s="18">
        <v>72868000</v>
      </c>
      <c r="C9" s="18">
        <v>57968000</v>
      </c>
      <c r="D9" s="18">
        <v>3604000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338336000</v>
      </c>
      <c r="C10" s="18">
        <v>202046000</v>
      </c>
      <c r="D10" s="18">
        <v>183978000</v>
      </c>
      <c r="E10" s="18">
        <v>190620000</v>
      </c>
      <c r="F10" s="8" t="s">
        <v>93</v>
      </c>
    </row>
    <row r="11" spans="1:6" x14ac:dyDescent="0.25">
      <c r="A11" t="s">
        <v>94</v>
      </c>
      <c r="B11" s="18">
        <v>1209099000</v>
      </c>
      <c r="C11" s="18">
        <v>166490000</v>
      </c>
      <c r="D11" s="18">
        <v>523838000</v>
      </c>
      <c r="E11" s="18">
        <v>1011212000</v>
      </c>
      <c r="F11" s="8" t="s">
        <v>95</v>
      </c>
    </row>
    <row r="12" spans="1:6" x14ac:dyDescent="0.25">
      <c r="A12" t="s">
        <v>32</v>
      </c>
      <c r="B12" s="34">
        <v>1007941976</v>
      </c>
      <c r="C12" s="34">
        <v>935080000</v>
      </c>
      <c r="D12" s="34">
        <v>938002220</v>
      </c>
      <c r="E12" s="34">
        <v>915878538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2026-09-19T00:07:50Z</dcterms:modified>
</cp:coreProperties>
</file>