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<sst xmlns="http://schemas.openxmlformats.org/spreadsheetml/2006/main" count="120" uniqueCount="107">
  <si>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Live Nation Entertainment, Inc. (LYV)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</si>
  <si>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</si>
  <si>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</si>
  <si>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</si>
  <si>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</si>
  <si>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</si>
  <si>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</si>
  <si>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</si>
  <si>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</si>
  <si>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</si>
  <si>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</si>
  <si>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</si>
  <si>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</si>
  <si>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</si>
  <si>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</si>
  <si>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</si>
  <si>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</si>
  <si>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</si>
  <si>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</si>
  <si>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</si>
  <si>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</si>
  <si>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</si>
  <si>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</si>
  <si>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</si>
  <si>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3.9x interest cover.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</si>
  <si>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</si>
  <si>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</si>
  <si>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</si>
  <si>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</si>
  <si>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</si>
  <si>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</si>
  <si>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</si>
  <si>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</si>
  <si>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</si>
  <si>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</si>
  <si>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</si>
  <si>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</si>
  <si>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</si>
  <si>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</si>
  <si>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</si>
  <si>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</si>
  <si>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</si>
  <si>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</si>
  <si>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</si>
  <si>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</si>
  <si>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</si>
  <si>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</si>
  <si>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</si>
  <si>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</si>
  <si>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</si>
  <si>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</si>
  <si>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</si>
  <si>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</si>
  <si>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</si>
  <si>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</si>
  <si>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</si>
  <si>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</si>
  <si>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</si>
  <si>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</si>
  <si>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</si>
  <si>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</si>
  <si>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</si>
  <si>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</si>
  <si>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</si>
  <si>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</si>
  <si>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</si>
  <si>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</si>
  <si>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</si>
  <si>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</si>
  <si>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</si>
  <si>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</si>
  <si>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</si>
  <si>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</si>
  <si>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</si>
  <si>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</si>
  <si>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</si>
  <si>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</si>
  <si>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</si>
  <si>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</si>
  <si>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</si>
  <si>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</si>
  <si>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</si>
  <si>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</si>
  <si>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</si>
  <si>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</si>
  <si>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</si>
  <si>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</si>
  <si>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</si>
  <si>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</si>
  <si>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</si>
  <si>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</si>
  <si>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</si>
  <si>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</si>
  <si>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</si>
  <si>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</si>
  <si>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</si>
  <si>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</si>
  <si>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</si>
  <si>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</si>
  <si>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</si>
  <si>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</si>
  <si>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</si>
  <si>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</si>
  <si>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</si>
  <si>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</si>
  <si>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23.9x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</si>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</sst>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0.11588480103054577</v>
      </c>
    </row>
    <row r="7" spans="1:2" x14ac:dyDescent="0.25">
      <c r="A7" t="s">
        <v>4</v>
      </c>
      <c r="B7" s="5">
        <v>0.04313303068916456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0.02470365661670281</v>
      </c>
    </row>
    <row r="10" spans="1:3" x14ac:dyDescent="0.25">
      <c r="A10" t="s">
        <v>7</v>
      </c>
      <c r="B10" s="5">
        <v>0.028628264941887777</v>
      </c>
      <c r="C10" s="6" t="s">
        <v>8</v>
      </c>
    </row>
    <row r="11" spans="1:2" x14ac:dyDescent="0.25">
      <c r="A11" t="s">
        <v>9</v>
      </c>
      <c r="B11" s="5">
        <v>-0.009149841378469008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0.10671151315249491</v>
      </c>
      <c r="C14" s="6" t="s">
        <v>13</v>
      </c>
    </row>
    <row r="15" spans="1:3" x14ac:dyDescent="0.25">
      <c r="A15" t="s">
        <v>14</v>
      </c>
      <c r="B15" s="5">
        <v>0.013268284481894134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1.11457</v>
      </c>
      <c r="C19" s="6" t="s">
        <v>21</v>
      </c>
    </row>
    <row r="20" spans="1:2" x14ac:dyDescent="0.25">
      <c r="A20" t="s">
        <v>22</v>
      </c>
      <c r="B20" s="9">
        <f>B17+B19*B18</f>
        <v>0.09608631100000001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41441165312</v>
      </c>
    </row>
    <row r="23" spans="1:2" x14ac:dyDescent="0.25">
      <c r="A23" t="s">
        <v>26</v>
      </c>
      <c r="B23" s="10">
        <v>10404386000</v>
      </c>
    </row>
    <row r="24" spans="1:2" x14ac:dyDescent="0.25">
      <c r="A24" t="s">
        <v>27</v>
      </c>
      <c r="B24" s="9">
        <f>B22/(B22+B23)</f>
        <v>0.7993195995276873</v>
      </c>
    </row>
    <row r="25" spans="1:2" x14ac:dyDescent="0.25">
      <c r="A25" t="s">
        <v>28</v>
      </c>
      <c r="B25" s="9">
        <f>1-B24</f>
        <v>0.20068040047231273</v>
      </c>
    </row>
    <row r="26" spans="1:2" x14ac:dyDescent="0.25">
      <c r="A26" t="s">
        <v>29</v>
      </c>
      <c r="B26" s="11">
        <f>B24*B20+B25*B21*(1-B8)</f>
        <v>0.08597348157563449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25201406000</v>
      </c>
      <c r="C29" s="6" t="s">
        <v>32</v>
      </c>
    </row>
    <row r="30" spans="1:2" x14ac:dyDescent="0.25">
      <c r="A30" t="s">
        <v>33</v>
      </c>
      <c r="B30" s="10">
        <v>3310186000</v>
      </c>
    </row>
    <row r="31" spans="1:2" x14ac:dyDescent="0.25">
      <c r="A31" t="s">
        <v>34</v>
      </c>
      <c r="B31" s="12">
        <v>231844300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0.11588480103054577</v>
      </c>
      <c r="C5" s="5">
        <v>0.09274667077283327</v>
      </c>
      <c r="D5" s="5">
        <v>0.08427833692622912</v>
      </c>
      <c r="E5" s="5">
        <v>0.07581000307962496</v>
      </c>
      <c r="F5" s="5">
        <v>0.06734166923302079</v>
      </c>
      <c r="G5" s="5">
        <v>0.058873335386416634</v>
      </c>
      <c r="H5" s="5">
        <v>0.05040500153981248</v>
      </c>
      <c r="I5" s="5">
        <v>0.041936667693208314</v>
      </c>
      <c r="J5" s="5">
        <v>0.03346833384660415</v>
      </c>
      <c r="K5" s="5">
        <v>0.024999999999999994</v>
      </c>
    </row>
    <row r="6" spans="1:11" x14ac:dyDescent="0.25">
      <c r="A6" t="s">
        <v>50</v>
      </c>
      <c r="B6" s="18">
        <f>Assumptions!B29*(1+B5)</f>
        <v>28121865920.000004</v>
      </c>
      <c r="C6" s="18">
        <f>B6*(1+C5)</f>
        <v>30730075360.000004</v>
      </c>
      <c r="D6" s="18">
        <f>C6*(1+D5)</f>
        <v>33319955004.9585</v>
      </c>
      <c r="E6" s="18">
        <f>D6*(1+E5)</f>
        <v>35845940896.49737</v>
      </c>
      <c r="F6" s="18">
        <f>E6*(1+F5)</f>
        <v>38259866391.69571</v>
      </c>
      <c r="G6" s="18">
        <f>F6*(1+G5)</f>
        <v>40512352337.6135</v>
      </c>
      <c r="H6" s="18">
        <f>G6*(1+H5)</f>
        <v>42554377519.57234</v>
      </c>
      <c r="I6" s="18">
        <f>H6*(1+I5)</f>
        <v>44338966308.501976</v>
      </c>
      <c r="J6" s="18">
        <f>I6*(1+J5)</f>
        <v>45822917635.328255</v>
      </c>
      <c r="K6" s="18">
        <f>J6*(1+K5)</f>
        <v>46968490576.21146</v>
      </c>
    </row>
    <row r="7" spans="1:11" x14ac:dyDescent="0.25">
      <c r="A7" t="s">
        <v>4</v>
      </c>
      <c r="B7" s="9">
        <f>Assumptions!B7</f>
        <v>0.04313303068916456</v>
      </c>
      <c r="C7" s="9">
        <f>Assumptions!B7</f>
        <v>0.04313303068916456</v>
      </c>
      <c r="D7" s="9">
        <f>Assumptions!B7</f>
        <v>0.04313303068916456</v>
      </c>
      <c r="E7" s="9">
        <f>Assumptions!B7</f>
        <v>0.04313303068916456</v>
      </c>
      <c r="F7" s="9">
        <f>Assumptions!B7</f>
        <v>0.04313303068916456</v>
      </c>
      <c r="G7" s="9">
        <f>Assumptions!B7</f>
        <v>0.04313303068916456</v>
      </c>
      <c r="H7" s="9">
        <f>Assumptions!B7</f>
        <v>0.04313303068916456</v>
      </c>
      <c r="I7" s="9">
        <f>Assumptions!B7</f>
        <v>0.04313303068916456</v>
      </c>
      <c r="J7" s="9">
        <f>Assumptions!B7</f>
        <v>0.04313303068916456</v>
      </c>
      <c r="K7" s="9">
        <f>Assumptions!B7</f>
        <v>0.04313303068916456</v>
      </c>
    </row>
    <row r="8" spans="1:11" x14ac:dyDescent="0.25">
      <c r="A8" t="s">
        <v>51</v>
      </c>
      <c r="B8" s="18">
        <f>B6*B7</f>
        <v>1212981305.7639313</v>
      </c>
      <c r="C8" s="18">
        <f>C6*C7</f>
        <v>1325481283.5832198</v>
      </c>
      <c r="D8" s="18">
        <f>D6*D7</f>
        <v>1437190641.7904572</v>
      </c>
      <c r="E8" s="18">
        <f>E6*E7</f>
        <v>1546144068.7706</v>
      </c>
      <c r="F8" s="18">
        <f>F6*F7</f>
        <v>1650263991.2363467</v>
      </c>
      <c r="G8" s="18">
        <f>G6*G7</f>
        <v>1747420536.668531</v>
      </c>
      <c r="H8" s="18">
        <f>H6*H7</f>
        <v>1835499271.5100083</v>
      </c>
      <c r="I8" s="18">
        <f>I6*I7</f>
        <v>1912473994.5104492</v>
      </c>
      <c r="J8" s="18">
        <f>J6*J7</f>
        <v>1976481312.6316736</v>
      </c>
      <c r="K8" s="18">
        <f>K6*K7</f>
        <v>2025893345.4474652</v>
      </c>
    </row>
    <row r="9" spans="1:11" x14ac:dyDescent="0.25">
      <c r="A9" t="s">
        <v>52</v>
      </c>
      <c r="B9" s="18">
        <f>B8*(1-Assumptions!B8)</f>
        <v>958255231.5535058</v>
      </c>
      <c r="C9" s="18">
        <f>C8*(1-Assumptions!B8)</f>
        <v>1047130214.0307437</v>
      </c>
      <c r="D9" s="18">
        <f>D8*(1-Assumptions!B8)</f>
        <v>1135380607.0144613</v>
      </c>
      <c r="E9" s="18">
        <f>E8*(1-Assumptions!B8)</f>
        <v>1221453814.3287742</v>
      </c>
      <c r="F9" s="18">
        <f>F8*(1-Assumptions!B8)</f>
        <v>1303708553.076714</v>
      </c>
      <c r="G9" s="18">
        <f>G8*(1-Assumptions!B8)</f>
        <v>1380462223.9681394</v>
      </c>
      <c r="H9" s="18">
        <f>H8*(1-Assumptions!B8)</f>
        <v>1450044424.4929066</v>
      </c>
      <c r="I9" s="18">
        <f>I8*(1-Assumptions!B8)</f>
        <v>1510854455.663255</v>
      </c>
      <c r="J9" s="18">
        <f>J8*(1-Assumptions!B8)</f>
        <v>1561420236.9790223</v>
      </c>
      <c r="K9" s="18">
        <f>K8*(1-Assumptions!B8)</f>
        <v>1600455742.9034975</v>
      </c>
    </row>
    <row r="10" spans="1:11" x14ac:dyDescent="0.25">
      <c r="A10" t="s">
        <v>53</v>
      </c>
      <c r="B10" s="18">
        <f>B6*Assumptions!B9</f>
        <v>694712919.1086373</v>
      </c>
      <c r="C10" s="18">
        <f>C6*Assumptions!B9</f>
        <v>759145229.4988401</v>
      </c>
      <c r="D10" s="18">
        <f>D6*Assumptions!B9</f>
        <v>823124726.926483</v>
      </c>
      <c r="E10" s="18">
        <f>E6*Assumptions!B9</f>
        <v>885525815.009695</v>
      </c>
      <c r="F10" s="18">
        <f>F6*Assumptions!B9</f>
        <v>945158601.5413792</v>
      </c>
      <c r="G10" s="18">
        <f>G6*Assumptions!B9</f>
        <v>1000803240.8832814</v>
      </c>
      <c r="H10" s="18">
        <f>H6*Assumptions!B9</f>
        <v>1051248729.7810527</v>
      </c>
      <c r="I10" s="18">
        <f>I6*Assumptions!B9</f>
        <v>1095334598.4247878</v>
      </c>
      <c r="J10" s="18">
        <f>J6*Assumptions!B9</f>
        <v>1131993622.4386048</v>
      </c>
      <c r="K10" s="18">
        <f>K6*Assumptions!B9</f>
        <v>1160293462.99957</v>
      </c>
    </row>
    <row r="11" spans="1:11" x14ac:dyDescent="0.25">
      <c r="A11" t="s">
        <v>54</v>
      </c>
      <c r="B11" s="18">
        <f>-B6*B19</f>
        <v>-805080228.2180047</v>
      </c>
      <c r="C11" s="18">
        <f>-C6*C19</f>
        <v>-861786853.6994604</v>
      </c>
      <c r="D11" s="18">
        <f>-D6*D19</f>
        <v>-914941133.2945454</v>
      </c>
      <c r="E11" s="18">
        <f>-E6*E19</f>
        <v>-963350688.6028321</v>
      </c>
      <c r="F11" s="18">
        <f>-F6*F19</f>
        <v>-1005861245.4726051</v>
      </c>
      <c r="G11" s="18">
        <f>-G6*G19</f>
        <v>-1041399975.8768142</v>
      </c>
      <c r="H11" s="18">
        <f>-H6*H19</f>
        <v>-1069018493.103849</v>
      </c>
      <c r="I11" s="18">
        <f>-I6*I19</f>
        <v>-1087933215.0200074</v>
      </c>
      <c r="J11" s="18">
        <f>-J6*J19</f>
        <v>-1097560798.5757675</v>
      </c>
      <c r="K11" s="18">
        <f>-K6*K19</f>
        <v>-1097546496.840639</v>
      </c>
    </row>
    <row r="12" spans="1:11" x14ac:dyDescent="0.25">
      <c r="A12" t="s">
        <v>55</v>
      </c>
      <c r="B12" s="18">
        <f>-(B6-Assumptions!B29)*Assumptions!B11</f>
        <v>26721745.020176325</v>
      </c>
      <c r="C12" s="18">
        <f>-(C6-B6)*Assumptions!B11</f>
        <v>23864702.65782548</v>
      </c>
      <c r="D12" s="18">
        <f>-(D6-C6)*Assumptions!B11</f>
        <v>23696987.94069587</v>
      </c>
      <c r="E12" s="18">
        <f>-(E6-D6)*Assumptions!B11</f>
        <v>23112370.231831264</v>
      </c>
      <c r="F12" s="18">
        <f>-(F6-E6)*Assumptions!B11</f>
        <v>22087035.380507074</v>
      </c>
      <c r="G12" s="18">
        <f>-(G6-F6)*Assumptions!B11</f>
        <v>20609889.11237853</v>
      </c>
      <c r="H12" s="18">
        <f>-(H6-G6)*Assumptions!B11</f>
        <v>18684206.505762696</v>
      </c>
      <c r="I12" s="18">
        <f>-(I6-H6)*Assumptions!B11</f>
        <v>16328704.344500262</v>
      </c>
      <c r="J12" s="18">
        <f>-(J6-I6)*Assumptions!B11</f>
        <v>13577919.253829071</v>
      </c>
      <c r="K12" s="18">
        <f>-(K6-J6)*Assumptions!B11</f>
        <v>10481810.69654755</v>
      </c>
    </row>
    <row r="13" spans="1:11" x14ac:dyDescent="0.25">
      <c r="A13" s="19" t="s">
        <v>56</v>
      </c>
      <c r="B13" s="20">
        <f>B9+B10+B11+B12</f>
        <v>874609667.4643148</v>
      </c>
      <c r="C13" s="20">
        <f>C9+C10+C11+C12</f>
        <v>968353292.487949</v>
      </c>
      <c r="D13" s="20">
        <f>D9+D10+D11+D12</f>
        <v>1067261188.5870947</v>
      </c>
      <c r="E13" s="20">
        <f>E9+E10+E11+E12</f>
        <v>1166741310.9674685</v>
      </c>
      <c r="F13" s="20">
        <f>F9+F10+F11+F12</f>
        <v>1265092944.5259953</v>
      </c>
      <c r="G13" s="20">
        <f>G9+G10+G11+G12</f>
        <v>1360475378.086985</v>
      </c>
      <c r="H13" s="20">
        <f>H9+H10+H11+H12</f>
        <v>1450958867.6758728</v>
      </c>
      <c r="I13" s="20">
        <f>I9+I10+I11+I12</f>
        <v>1534584543.4125357</v>
      </c>
      <c r="J13" s="20">
        <f>J9+J10+J11+J12</f>
        <v>1609430980.0956888</v>
      </c>
      <c r="K13" s="20">
        <f>K9+K10+K11+K12</f>
        <v>1673684519.758976</v>
      </c>
    </row>
    <row r="14" spans="1:11" x14ac:dyDescent="0.25">
      <c r="A14" t="s">
        <v>57</v>
      </c>
      <c r="B14" s="21">
        <f>1/(1+Assumptions!$B$26)^(1-0.5*Assumptions!$B$32)</f>
        <v>0.9596003326253557</v>
      </c>
      <c r="C14" s="21">
        <f>1/(1+Assumptions!$B$26)^(2-0.5*Assumptions!$B$32)</f>
        <v>0.8836314596126927</v>
      </c>
      <c r="D14" s="21">
        <f>1/(1+Assumptions!$B$26)^(3-0.5*Assumptions!$B$32)</f>
        <v>0.8136768296870707</v>
      </c>
      <c r="E14" s="21">
        <f>1/(1+Assumptions!$B$26)^(4-0.5*Assumptions!$B$32)</f>
        <v>0.7492603120533939</v>
      </c>
      <c r="F14" s="21">
        <f>1/(1+Assumptions!$B$26)^(5-0.5*Assumptions!$B$32)</f>
        <v>0.6899434698592227</v>
      </c>
      <c r="G14" s="21">
        <f>1/(1+Assumptions!$B$26)^(6-0.5*Assumptions!$B$32)</f>
        <v>0.6353225760708139</v>
      </c>
      <c r="H14" s="21">
        <f>1/(1+Assumptions!$B$26)^(7-0.5*Assumptions!$B$32)</f>
        <v>0.5850258655939066</v>
      </c>
      <c r="I14" s="21">
        <f>1/(1+Assumptions!$B$26)^(8-0.5*Assumptions!$B$32)</f>
        <v>0.5387110049364142</v>
      </c>
      <c r="J14" s="21">
        <f>1/(1+Assumptions!$B$26)^(9-0.5*Assumptions!$B$32)</f>
        <v>0.4960627621908415</v>
      </c>
      <c r="K14" s="21">
        <f>1/(1+Assumptions!$B$26)^(10-0.5*Assumptions!$B$32)</f>
        <v>0.45679086147767256</v>
      </c>
    </row>
    <row r="15" spans="1:11" x14ac:dyDescent="0.25">
      <c r="A15" s="19" t="s">
        <v>58</v>
      </c>
      <c r="B15" s="20">
        <f>B13*B14</f>
        <v>839275727.8161082</v>
      </c>
      <c r="C15" s="20">
        <f>C13*C14</f>
        <v>855667433.2618831</v>
      </c>
      <c r="D15" s="20">
        <f>D13*D14</f>
        <v>868405700.377602</v>
      </c>
      <c r="E15" s="20">
        <f>E13*E14</f>
        <v>874192958.7410713</v>
      </c>
      <c r="F15" s="20">
        <f>F13*F14</f>
        <v>872842615.8406863</v>
      </c>
      <c r="G15" s="20">
        <f>G13*G14</f>
        <v>864340721.8871379</v>
      </c>
      <c r="H15" s="20">
        <f>H13*H14</f>
        <v>848848467.503232</v>
      </c>
      <c r="I15" s="20">
        <f>I13*I14</f>
        <v>826697581.5416554</v>
      </c>
      <c r="J15" s="20">
        <f>J13*J14</f>
        <v>798378777.5417806</v>
      </c>
      <c r="K15" s="20">
        <f>K13*K14</f>
        <v>764523793.6225473</v>
      </c>
    </row>
    <row r="17" spans="1:2" x14ac:dyDescent="0.25">
      <c r="A17" s="22" t="s">
        <v>59</v>
      </c>
      <c r="B17" s="23">
        <f>SUM(B15:K15)</f>
        <v>8413173778.133705</v>
      </c>
    </row>
    <row r="19" spans="1:11" x14ac:dyDescent="0.25">
      <c r="A19" t="s">
        <v>7</v>
      </c>
      <c r="B19" s="9">
        <f>Assumptions!$B$10+($B$20-Assumptions!$B$10)*0/9</f>
        <v>0.028628264941887777</v>
      </c>
      <c r="C19" s="9">
        <f>Assumptions!$B$10+($B$20-Assumptions!$B$10)*1/9</f>
        <v>0.028043759854270017</v>
      </c>
      <c r="D19" s="9">
        <f>Assumptions!$B$10+($B$20-Assumptions!$B$10)*2/9</f>
        <v>0.027459254766652258</v>
      </c>
      <c r="E19" s="9">
        <f>Assumptions!$B$10+($B$20-Assumptions!$B$10)*3/9</f>
        <v>0.026874749679034495</v>
      </c>
      <c r="F19" s="9">
        <f>Assumptions!$B$10+($B$20-Assumptions!$B$10)*4/9</f>
        <v>0.026290244591416736</v>
      </c>
      <c r="G19" s="9">
        <f>Assumptions!$B$10+($B$20-Assumptions!$B$10)*5/9</f>
        <v>0.025705739503798977</v>
      </c>
      <c r="H19" s="9">
        <f>Assumptions!$B$10+($B$20-Assumptions!$B$10)*6/9</f>
        <v>0.025121234416181217</v>
      </c>
      <c r="I19" s="9">
        <f>Assumptions!$B$10+($B$20-Assumptions!$B$10)*7/9</f>
        <v>0.024536729328563454</v>
      </c>
      <c r="J19" s="9">
        <f>Assumptions!$B$10+($B$20-Assumptions!$B$10)*8/9</f>
        <v>0.023952224240945695</v>
      </c>
      <c r="K19" s="9">
        <f>Assumptions!$B$10+($B$20-Assumptions!$B$10)*9/9</f>
        <v>0.023367719153327936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0.023367719153327936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1673684519.758976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2024766455.8993912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0.23427650177046994</v>
      </c>
    </row>
    <row r="7" spans="1:2" x14ac:dyDescent="0.25">
      <c r="A7" t="s">
        <v>66</v>
      </c>
      <c r="B7" s="18">
        <f>-MAX(B5,0)*B6</f>
        <v>-474355202.19030184</v>
      </c>
    </row>
    <row r="8" spans="1:2" x14ac:dyDescent="0.25">
      <c r="A8" t="s">
        <v>67</v>
      </c>
      <c r="B8" s="18">
        <f>IF(OR(Assumptions!$B$33=0,Assumptions!B12&lt;=0),B5,MAX(B5+B7,0))</f>
        <v>1550411253.7090893</v>
      </c>
    </row>
    <row r="9" spans="1:2" x14ac:dyDescent="0.25">
      <c r="A9" t="s">
        <v>68</v>
      </c>
      <c r="B9" s="18">
        <f>B8*(1+Assumptions!B12)/(Assumptions!B26-Assumptions!B12)</f>
        <v>26063322841.10315</v>
      </c>
    </row>
    <row r="10" spans="1:2" x14ac:dyDescent="0.25">
      <c r="A10" t="s">
        <v>69</v>
      </c>
      <c r="B10" s="18">
        <f>B9/(1+Assumptions!B26)^(10-0.5*Assumptions!B32)</f>
        <v>11905487693.558208</v>
      </c>
    </row>
    <row r="11" spans="1:2" x14ac:dyDescent="0.25">
      <c r="A11" t="s">
        <v>70</v>
      </c>
      <c r="B11" s="18">
        <f>Forecast!B17+B10</f>
        <v>20318661471.691914</v>
      </c>
    </row>
    <row r="12" spans="1:2" x14ac:dyDescent="0.25">
      <c r="A12" t="s">
        <v>71</v>
      </c>
      <c r="B12" s="18">
        <f>-Assumptions!B30</f>
        <v>-3310186000</v>
      </c>
    </row>
    <row r="13" spans="1:2" x14ac:dyDescent="0.25">
      <c r="A13" t="s">
        <v>72</v>
      </c>
      <c r="B13" s="18">
        <f>B11+B12</f>
        <v>17008475471.691914</v>
      </c>
    </row>
    <row r="14" spans="1:2" x14ac:dyDescent="0.25">
      <c r="A14" s="19" t="s">
        <v>73</v>
      </c>
      <c r="B14" s="24">
        <f>B13/Assumptions!B31</f>
        <v>73.36162878143614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3186186808.447035</v>
      </c>
    </row>
    <row r="18" spans="1:2" x14ac:dyDescent="0.25">
      <c r="A18" t="s">
        <v>68</v>
      </c>
      <c r="B18" s="18">
        <f>B17*Assumptions!B13</f>
        <v>63723736168.9407</v>
      </c>
    </row>
    <row r="19" spans="1:2" x14ac:dyDescent="0.25">
      <c r="A19" t="s">
        <v>69</v>
      </c>
      <c r="B19" s="18">
        <f>B18/(1+Assumptions!B26)^(10-0.5*Assumptions!B32)</f>
        <v>29108420341.186344</v>
      </c>
    </row>
    <row r="20" spans="1:2" x14ac:dyDescent="0.25">
      <c r="A20" t="s">
        <v>70</v>
      </c>
      <c r="B20" s="18">
        <f>Forecast!B17+B19</f>
        <v>37521594119.32005</v>
      </c>
    </row>
    <row r="21" spans="1:2" x14ac:dyDescent="0.25">
      <c r="A21" t="s">
        <v>71</v>
      </c>
      <c r="B21" s="18">
        <f>-Assumptions!B30</f>
        <v>-3310186000</v>
      </c>
    </row>
    <row r="22" spans="1:2" x14ac:dyDescent="0.25">
      <c r="A22" t="s">
        <v>72</v>
      </c>
      <c r="B22" s="18">
        <f>B20+B21</f>
        <v>34211408119.320053</v>
      </c>
    </row>
    <row r="23" spans="1:2" x14ac:dyDescent="0.25">
      <c r="A23" s="19" t="s">
        <v>73</v>
      </c>
      <c r="B23" s="25">
        <f>B22/Assumptions!B31</f>
        <v>147.56199794137726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177.89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73.36162878143614</v>
      </c>
    </row>
    <row r="29" spans="1:2" x14ac:dyDescent="0.25">
      <c r="A29" s="19" t="s">
        <v>81</v>
      </c>
      <c r="B29" s="11">
        <f>B28/B26-1</f>
        <v>-0.5876011648690981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0.065973</v>
      </c>
      <c r="B5" s="31">
        <v>109.38255738774033</v>
      </c>
      <c r="C5" s="31">
        <v>112.54569508011048</v>
      </c>
      <c r="D5" s="31">
        <v>116.71752546022616</v>
      </c>
      <c r="E5" s="31">
        <v>122.31865260103606</v>
      </c>
      <c r="F5" s="31">
        <v>130.0412745915343</v>
      </c>
    </row>
    <row r="6" spans="1:6" x14ac:dyDescent="0.25">
      <c r="A6" s="30">
        <v>0.075973</v>
      </c>
      <c r="B6" s="31">
        <v>88.27021730425501</v>
      </c>
      <c r="C6" s="31">
        <v>89.33200864198025</v>
      </c>
      <c r="D6" s="31">
        <v>90.78181816440113</v>
      </c>
      <c r="E6" s="31">
        <v>92.74624785029714</v>
      </c>
      <c r="F6" s="31">
        <v>95.41369743735238</v>
      </c>
    </row>
    <row r="7" spans="1:6" x14ac:dyDescent="0.25">
      <c r="A7" s="30">
        <v>0.085973</v>
      </c>
      <c r="B7" s="31">
        <v>73.14884063162715</v>
      </c>
      <c r="C7" s="31">
        <v>73.18185830769053</v>
      </c>
      <c r="D7" s="32">
        <v>73.36232984888203</v>
      </c>
      <c r="E7" s="31">
        <v>73.72977087839352</v>
      </c>
      <c r="F7" s="31">
        <v>74.33920155051855</v>
      </c>
    </row>
    <row r="8" spans="1:6" x14ac:dyDescent="0.25">
      <c r="A8" s="30">
        <v>0.095973</v>
      </c>
      <c r="B8" s="31">
        <v>61.796972377119445</v>
      </c>
      <c r="C8" s="31">
        <v>61.305277235375776</v>
      </c>
      <c r="D8" s="31">
        <v>60.85976592470486</v>
      </c>
      <c r="E8" s="31">
        <v>60.470939066059046</v>
      </c>
      <c r="F8" s="31">
        <v>60.15274163148132</v>
      </c>
    </row>
    <row r="9" spans="1:6" x14ac:dyDescent="0.25">
      <c r="A9" s="30">
        <v>0.105973</v>
      </c>
      <c r="B9" s="31">
        <v>52.96998491592162</v>
      </c>
      <c r="C9" s="31">
        <v>52.210348764835096</v>
      </c>
      <c r="D9" s="31">
        <v>51.45273960645744</v>
      </c>
      <c r="E9" s="31">
        <v>50.6975576473177</v>
      </c>
      <c r="F9" s="31">
        <v>49.94531587106559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25201406000</v>
      </c>
      <c r="C5" s="18">
        <v>23155625000</v>
      </c>
      <c r="D5" s="18">
        <v>22726317000</v>
      </c>
      <c r="E5" s="18">
        <v>16681254000</v>
      </c>
      <c r="F5" s="6" t="s">
        <v>91</v>
      </c>
    </row>
    <row r="6" spans="1:6" x14ac:dyDescent="0.25">
      <c r="A6" t="s">
        <v>51</v>
      </c>
      <c r="B6" s="18">
        <v>1232689000</v>
      </c>
      <c r="C6" s="18">
        <v>813495000</v>
      </c>
      <c r="D6" s="18">
        <v>1071006000</v>
      </c>
      <c r="E6" s="18">
        <v>689949000</v>
      </c>
      <c r="F6" s="6" t="s">
        <v>92</v>
      </c>
    </row>
    <row r="7" spans="1:6" x14ac:dyDescent="0.25">
      <c r="A7" t="s">
        <v>93</v>
      </c>
      <c r="B7" s="18">
        <v>638872000</v>
      </c>
      <c r="C7" s="18">
        <v>549923000</v>
      </c>
      <c r="D7" s="18">
        <v>516797000</v>
      </c>
      <c r="E7" s="18">
        <v>449976000</v>
      </c>
      <c r="F7" s="6" t="s">
        <v>94</v>
      </c>
    </row>
    <row r="8" spans="1:6" x14ac:dyDescent="0.25">
      <c r="A8" t="s">
        <v>95</v>
      </c>
      <c r="B8" s="18">
        <v>1090337000</v>
      </c>
      <c r="C8" s="18">
        <v>675156000</v>
      </c>
      <c r="D8" s="18">
        <v>475257000</v>
      </c>
      <c r="E8" s="18">
        <v>353286000</v>
      </c>
      <c r="F8" s="6" t="s">
        <v>96</v>
      </c>
    </row>
    <row r="9" spans="1:6" x14ac:dyDescent="0.25">
      <c r="A9" t="s">
        <v>97</v>
      </c>
      <c r="B9" s="18">
        <v>287746000</v>
      </c>
      <c r="C9" s="18">
        <v>-651105000</v>
      </c>
      <c r="D9" s="18">
        <v>137286000</v>
      </c>
      <c r="E9" s="18">
        <v>-675447000</v>
      </c>
      <c r="F9" s="6" t="s">
        <v>98</v>
      </c>
    </row>
    <row r="10" spans="1:6" x14ac:dyDescent="0.25">
      <c r="A10" t="s">
        <v>99</v>
      </c>
      <c r="B10" s="18">
        <v>10404386000</v>
      </c>
      <c r="C10" s="18">
        <v>8271741000</v>
      </c>
      <c r="D10" s="18">
        <v>8437924000</v>
      </c>
      <c r="E10" s="18">
        <v>7698256000</v>
      </c>
      <c r="F10" s="6" t="s">
        <v>100</v>
      </c>
    </row>
    <row r="11" spans="1:6" x14ac:dyDescent="0.25">
      <c r="A11" t="s">
        <v>101</v>
      </c>
      <c r="B11" s="18">
        <v>7094200000</v>
      </c>
      <c r="C11" s="18">
        <v>6095424000</v>
      </c>
      <c r="D11" s="18">
        <v>6231866000</v>
      </c>
      <c r="E11" s="18">
        <v>5606457000</v>
      </c>
      <c r="F11" s="6" t="s">
        <v>102</v>
      </c>
    </row>
    <row r="12" spans="1:6" x14ac:dyDescent="0.25">
      <c r="A12" t="s">
        <v>34</v>
      </c>
      <c r="B12" s="34">
        <v>231844300</v>
      </c>
      <c r="C12" s="34">
        <v>236352449</v>
      </c>
      <c r="D12" s="34">
        <v>230977326</v>
      </c>
      <c r="E12" s="34">
        <v>231556866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