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<sst xmlns="http://schemas.openxmlformats.org/spreadsheetml/2006/main" count="114" uniqueCount="102">
  <si>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Mahindra &amp; Mahindra Limited (M&amp;M.NS)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</si>
  <si>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</si>
  <si>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</si>
  <si>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</si>
  <si>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</si>
  <si>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</si>
  <si>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</si>
  <si>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</si>
  <si>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</si>
  <si>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</si>
  <si>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</si>
  <si>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</si>
  <si>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</si>
  <si>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</si>
  <si>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</si>
  <si>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</si>
  <si>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</si>
  <si>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</si>
  <si>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</si>
  <si>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</si>
  <si>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</si>
  <si>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</si>
  <si>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</si>
  <si>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</si>
  <si>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</si>
  <si>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</si>
  <si>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</si>
  <si>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</si>
  <si>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</si>
  <si>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</si>
  <si>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</si>
  <si>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</si>
  <si>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</si>
  <si>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</si>
  <si>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</si>
  <si>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</si>
  <si>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</si>
  <si>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</si>
  <si>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</si>
  <si>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</si>
  <si>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</si>
  <si>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</si>
  <si>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</si>
  <si>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</si>
  <si>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</si>
  <si>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</si>
  <si>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</si>
  <si>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</si>
  <si>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</si>
  <si>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</si>
  <si>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</si>
  <si>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</si>
  <si>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</si>
  <si>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</si>
  <si>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</si>
  <si>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</si>
  <si>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</si>
  <si>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</si>
  <si>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</si>
  <si>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</si>
  <si>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</si>
  <si>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</si>
  <si>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</si>
  <si>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</si>
  <si>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</si>
  <si>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</si>
  <si>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</si>
  <si>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</si>
  <si>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</si>
  <si>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</si>
  <si>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</si>
  <si>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</si>
  <si>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</si>
  <si>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</si>
  <si>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</si>
  <si>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</si>
  <si>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</si>
  <si>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</si>
  <si>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</si>
  <si>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</si>
  <si>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</si>
  <si>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</si>
  <si>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</si>
  <si>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</si>
  <si>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</si>
  <si>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</si>
  <si>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</si>
  <si>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</si>
  <si>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</si>
  <si>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</si>
  <si>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</si>
  <si>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</si>
  <si>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</si>
  <si>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</si>
  <si>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</si>
  <si>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</si>
  <si>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</si>
  <si>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</si>
  <si>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</si>
  <si>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6.1% of revenue against depreciation of 3.5%.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</si>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</sst>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0.17497272740904268</v>
      </c>
    </row>
    <row r="7" spans="1:2" x14ac:dyDescent="0.25">
      <c r="A7" t="s">
        <v>5</v>
      </c>
      <c r="B7" s="6">
        <v>0.14803171280005056</v>
      </c>
    </row>
    <row r="8" spans="1:2" x14ac:dyDescent="0.25">
      <c r="A8" t="s">
        <v>6</v>
      </c>
      <c r="B8" s="6">
        <v>0.2463331790958886</v>
      </c>
    </row>
    <row r="9" spans="1:2" x14ac:dyDescent="0.25">
      <c r="A9" t="s">
        <v>7</v>
      </c>
      <c r="B9" s="6">
        <v>0.03503041994533437</v>
      </c>
    </row>
    <row r="10" spans="1:2" x14ac:dyDescent="0.25">
      <c r="A10" t="s">
        <v>8</v>
      </c>
      <c r="B10" s="6">
        <v>0.060677693812152746</v>
      </c>
    </row>
    <row r="11" spans="1:2" x14ac:dyDescent="0.25">
      <c r="A11" t="s">
        <v>9</v>
      </c>
      <c r="B11" s="6">
        <v>0.7112779158390967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12.230800520632707</v>
      </c>
    </row>
    <row r="14" spans="1:3" x14ac:dyDescent="0.25">
      <c r="A14" t="s">
        <v>12</v>
      </c>
      <c r="B14" s="6">
        <v>0.09469778797105859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0.5176</v>
      </c>
      <c r="C19" s="8" t="s">
        <v>19</v>
      </c>
    </row>
    <row r="20" spans="1:2" x14ac:dyDescent="0.25">
      <c r="A20" t="s">
        <v>20</v>
      </c>
      <c r="B20" s="10">
        <f>B17+B19*B18</f>
        <v>0.109408</v>
      </c>
    </row>
    <row r="21" spans="1:3" x14ac:dyDescent="0.25">
      <c r="A21" t="s">
        <v>21</v>
      </c>
      <c r="B21" s="6">
        <v>0.0722550007828901</v>
      </c>
      <c r="C21" s="8" t="s">
        <v>22</v>
      </c>
    </row>
    <row r="22" spans="1:2" x14ac:dyDescent="0.25">
      <c r="A22" t="s">
        <v>23</v>
      </c>
      <c r="B22" s="11">
        <v>3664726458368</v>
      </c>
    </row>
    <row r="23" spans="1:2" x14ac:dyDescent="0.25">
      <c r="A23" t="s">
        <v>24</v>
      </c>
      <c r="B23" s="11">
        <v>1339631500000</v>
      </c>
    </row>
    <row r="24" spans="1:2" x14ac:dyDescent="0.25">
      <c r="A24" t="s">
        <v>25</v>
      </c>
      <c r="B24" s="10">
        <f>B22/(B22+B23)</f>
        <v>0.732307018973344</v>
      </c>
    </row>
    <row r="25" spans="1:2" x14ac:dyDescent="0.25">
      <c r="A25" t="s">
        <v>26</v>
      </c>
      <c r="B25" s="10">
        <f>1-B24</f>
        <v>0.26769298102665595</v>
      </c>
    </row>
    <row r="26" spans="1:2" x14ac:dyDescent="0.25">
      <c r="A26" t="s">
        <v>27</v>
      </c>
      <c r="B26" s="12">
        <f>B24*B20+B25*B21*(1-B8)</f>
        <v>0.09469778797105859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1930979500000</v>
      </c>
      <c r="C29" s="8" t="s">
        <v>30</v>
      </c>
    </row>
    <row r="30" spans="1:2" x14ac:dyDescent="0.25">
      <c r="A30" t="s">
        <v>31</v>
      </c>
      <c r="B30" s="11">
        <v>826227800000</v>
      </c>
    </row>
    <row r="31" spans="1:2" x14ac:dyDescent="0.25">
      <c r="A31" t="s">
        <v>32</v>
      </c>
      <c r="B31" s="13">
        <v>1120742133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0.17497272740904268</v>
      </c>
      <c r="C5" s="10">
        <f>Assumptions!B6</f>
        <v>0.17497272740904268</v>
      </c>
      <c r="D5" s="10">
        <f>Assumptions!B6</f>
        <v>0.17497272740904268</v>
      </c>
      <c r="E5" s="10">
        <f>Assumptions!B6</f>
        <v>0.17497272740904268</v>
      </c>
      <c r="F5" s="10">
        <f>Assumptions!B6</f>
        <v>0.17497272740904268</v>
      </c>
    </row>
    <row r="6" spans="1:6" x14ac:dyDescent="0.25">
      <c r="A6" t="s">
        <v>43</v>
      </c>
      <c r="B6" s="18">
        <f>Assumptions!B29*(1+B5)</f>
        <v>2268848249685.9497</v>
      </c>
      <c r="C6" s="18">
        <f>B6*(1+C5)</f>
        <v>2665834816010.733</v>
      </c>
      <c r="D6" s="18">
        <f>C6*(1+D5)</f>
        <v>3132283204590.1143</v>
      </c>
      <c r="E6" s="18">
        <f>D6*(1+E5)</f>
        <v>3680347339914.783</v>
      </c>
      <c r="F6" s="18">
        <f>E6*(1+F5)</f>
        <v>4324307751792.288</v>
      </c>
    </row>
    <row r="7" spans="1:6" x14ac:dyDescent="0.25">
      <c r="A7" t="s">
        <v>5</v>
      </c>
      <c r="B7" s="10">
        <f>Assumptions!B7</f>
        <v>0.14803171280005056</v>
      </c>
      <c r="C7" s="10">
        <f>Assumptions!B7</f>
        <v>0.14803171280005056</v>
      </c>
      <c r="D7" s="10">
        <f>Assumptions!B7</f>
        <v>0.14803171280005056</v>
      </c>
      <c r="E7" s="10">
        <f>Assumptions!B7</f>
        <v>0.14803171280005056</v>
      </c>
      <c r="F7" s="10">
        <f>Assumptions!B7</f>
        <v>0.14803171280005056</v>
      </c>
    </row>
    <row r="8" spans="1:6" x14ac:dyDescent="0.25">
      <c r="A8" t="s">
        <v>44</v>
      </c>
      <c r="B8" s="18">
        <f>B6*B7</f>
        <v>335861492484.4079</v>
      </c>
      <c r="C8" s="18">
        <f>C6*C7</f>
        <v>394628093856.0765</v>
      </c>
      <c r="D8" s="18">
        <f>D6*D7</f>
        <v>463677247750.3058</v>
      </c>
      <c r="E8" s="18">
        <f>E6*E7</f>
        <v>544808120426.69525</v>
      </c>
      <c r="F8" s="18">
        <f>F6*F7</f>
        <v>640134683172.3483</v>
      </c>
    </row>
    <row r="9" spans="1:6" x14ac:dyDescent="0.25">
      <c r="A9" t="s">
        <v>45</v>
      </c>
      <c r="B9" s="18">
        <f>B8*(1-Assumptions!B8)</f>
        <v>253127663304.8338</v>
      </c>
      <c r="C9" s="18">
        <f>C8*(1-Assumptions!B8)</f>
        <v>297418100935.95844</v>
      </c>
      <c r="D9" s="18">
        <f>D8*(1-Assumptions!B8)</f>
        <v>349458157237.541</v>
      </c>
      <c r="E9" s="18">
        <f>E8*(1-Assumptions!B8)</f>
        <v>410603804124.7317</v>
      </c>
      <c r="F9" s="18">
        <f>F8*(1-Assumptions!B8)</f>
        <v>482448271616.9643</v>
      </c>
    </row>
    <row r="10" spans="1:6" x14ac:dyDescent="0.25">
      <c r="A10" t="s">
        <v>46</v>
      </c>
      <c r="B10" s="18">
        <f>B6*Assumptions!B9</f>
        <v>79478706978.73567</v>
      </c>
      <c r="C10" s="18">
        <f>C6*Assumptions!B9</f>
        <v>93385313109.74916</v>
      </c>
      <c r="D10" s="18">
        <f>D6*Assumptions!B9</f>
        <v>109725196044.5094</v>
      </c>
      <c r="E10" s="18">
        <f>E6*Assumptions!B9</f>
        <v>128924112861.90913</v>
      </c>
      <c r="F10" s="18">
        <f>F6*Assumptions!B9</f>
        <v>151482316518.14862</v>
      </c>
    </row>
    <row r="11" spans="1:6" x14ac:dyDescent="0.25">
      <c r="A11" t="s">
        <v>47</v>
      </c>
      <c r="B11" s="18">
        <f>-B6*Assumptions!B10</f>
        <v>-137668479400.68274</v>
      </c>
      <c r="C11" s="18">
        <f>-C6*Assumptions!B10</f>
        <v>-161756708719.6758</v>
      </c>
      <c r="D11" s="18">
        <f>-D6*Assumptions!B10</f>
        <v>-190059721221.06754</v>
      </c>
      <c r="E11" s="18">
        <f>-E6*Assumptions!B10</f>
        <v>-223314989013.72006</v>
      </c>
      <c r="F11" s="18">
        <f>-F6*Assumptions!B10</f>
        <v>-262389021712.77106</v>
      </c>
    </row>
    <row r="12" spans="1:6" x14ac:dyDescent="0.25">
      <c r="A12" t="s">
        <v>48</v>
      </c>
      <c r="B12" s="18">
        <f>-(B6-Assumptions!B29)*Assumptions!B11</f>
        <v>-240318580103.78378</v>
      </c>
      <c r="C12" s="18">
        <f>-(C6-B6)*Assumptions!B11</f>
        <v>-282367777511.61115</v>
      </c>
      <c r="D12" s="18">
        <f>-(D6-C6)*Assumptions!B11</f>
        <v>-331774437675.2475</v>
      </c>
      <c r="E12" s="18">
        <f>-(E6-D6)*Assumptions!B11</f>
        <v>-389825915919.8872</v>
      </c>
      <c r="F12" s="18">
        <f>-(F6-E6)*Assumptions!B11</f>
        <v>-458034819643.118</v>
      </c>
    </row>
    <row r="13" spans="1:6" x14ac:dyDescent="0.25">
      <c r="A13" s="19" t="s">
        <v>49</v>
      </c>
      <c r="B13" s="20">
        <f>B9+B10+B11+B12</f>
        <v>-45380689220.897064</v>
      </c>
      <c r="C13" s="20">
        <f>C9+C10+C11+C12</f>
        <v>-53321072185.57938</v>
      </c>
      <c r="D13" s="20">
        <f>D9+D10+D11+D12</f>
        <v>-62650805614.26462</v>
      </c>
      <c r="E13" s="20">
        <f>E9+E10+E11+E12</f>
        <v>-73612987946.96643</v>
      </c>
      <c r="F13" s="20">
        <f>F9+F10+F11+F12</f>
        <v>-86493253220.77612</v>
      </c>
    </row>
    <row r="14" spans="1:6" x14ac:dyDescent="0.25">
      <c r="A14" t="s">
        <v>50</v>
      </c>
      <c r="B14" s="21">
        <f>1/(1+Assumptions!$B$26)^(1-0.5*Assumptions!$B$32)</f>
        <v>0.9557688668614648</v>
      </c>
      <c r="C14" s="21">
        <f>1/(1+Assumptions!$B$26)^(2-0.5*Assumptions!$B$32)</f>
        <v>0.8730892465151606</v>
      </c>
      <c r="D14" s="21">
        <f>1/(1+Assumptions!$B$26)^(3-0.5*Assumptions!$B$32)</f>
        <v>0.797561898917661</v>
      </c>
      <c r="E14" s="21">
        <f>1/(1+Assumptions!$B$26)^(4-0.5*Assumptions!$B$32)</f>
        <v>0.728568110469907</v>
      </c>
      <c r="F14" s="21">
        <f>1/(1+Assumptions!$B$26)^(5-0.5*Assumptions!$B$32)</f>
        <v>0.6655426899329486</v>
      </c>
    </row>
    <row r="15" spans="1:6" x14ac:dyDescent="0.25">
      <c r="A15" s="19" t="s">
        <v>51</v>
      </c>
      <c r="B15" s="20">
        <f>B13*B14</f>
        <v>-43373449914.04908</v>
      </c>
      <c r="C15" s="20">
        <f>C13*C14</f>
        <v>-46554054737.887985</v>
      </c>
      <c r="D15" s="20">
        <f>D13*D14</f>
        <v>-49967895494.43415</v>
      </c>
      <c r="E15" s="20">
        <f>E13*E14</f>
        <v>-53632075534.56537</v>
      </c>
      <c r="F15" s="20">
        <f>F13*F14</f>
        <v>-57564952409.60701</v>
      </c>
    </row>
    <row r="17" spans="1:2" x14ac:dyDescent="0.25">
      <c r="A17" s="22" t="s">
        <v>52</v>
      </c>
      <c r="B17" s="23">
        <f>SUM(B15:F15)</f>
        <v>-251092428090.54358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-86493253220.77612</v>
      </c>
    </row>
    <row r="5" spans="1:2" x14ac:dyDescent="0.25">
      <c r="A5" t="s">
        <v>56</v>
      </c>
      <c r="B5" s="18">
        <f>IF(Assumptions!$B$33=0,B4,B4-Forecast!F11-Forecast!F10-Forecast!F12)</f>
        <v>520352252256.5046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0.2639977188024758</v>
      </c>
    </row>
    <row r="7" spans="1:2" x14ac:dyDescent="0.25">
      <c r="A7" t="s">
        <v>58</v>
      </c>
      <c r="B7" s="18">
        <f>-MAX(Forecast!F9,0)*B6</f>
        <v>-137371807569.44765</v>
      </c>
    </row>
    <row r="8" spans="1:2" x14ac:dyDescent="0.25">
      <c r="A8" t="s">
        <v>59</v>
      </c>
      <c r="B8" s="18">
        <f>IF(OR(Assumptions!$B$33=0,Assumptions!B12&lt;=0),B5,MAX(B5+B7,0))</f>
        <v>382980444687.05695</v>
      </c>
    </row>
    <row r="9" spans="1:2" x14ac:dyDescent="0.25">
      <c r="A9" t="s">
        <v>60</v>
      </c>
      <c r="B9" s="18">
        <f>B8*(1+Assumptions!B12)/(Assumptions!B26-Assumptions!B12)</f>
        <v>5632244110347.3545</v>
      </c>
    </row>
    <row r="10" spans="1:2" x14ac:dyDescent="0.25">
      <c r="A10" t="s">
        <v>61</v>
      </c>
      <c r="B10" s="18">
        <f>B9/(1+Assumptions!B26)^(5-0.5*Assumptions!B32)</f>
        <v>3748498895559.5854</v>
      </c>
    </row>
    <row r="11" spans="1:2" x14ac:dyDescent="0.25">
      <c r="A11" t="s">
        <v>62</v>
      </c>
      <c r="B11" s="18">
        <f>Forecast!B17+B10</f>
        <v>3497406467469.042</v>
      </c>
    </row>
    <row r="12" spans="1:2" x14ac:dyDescent="0.25">
      <c r="A12" t="s">
        <v>63</v>
      </c>
      <c r="B12" s="18">
        <f>-Assumptions!B30</f>
        <v>-826227800000</v>
      </c>
    </row>
    <row r="13" spans="1:2" x14ac:dyDescent="0.25">
      <c r="A13" t="s">
        <v>64</v>
      </c>
      <c r="B13" s="18">
        <f>B11+B12</f>
        <v>2671178667469.042</v>
      </c>
    </row>
    <row r="14" spans="1:2" x14ac:dyDescent="0.25">
      <c r="A14" s="19" t="s">
        <v>65</v>
      </c>
      <c r="B14" s="24">
        <f>B13/Assumptions!B31</f>
        <v>2383.401666464378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791616999690.4968</v>
      </c>
    </row>
    <row r="18" spans="1:2" x14ac:dyDescent="0.25">
      <c r="A18" t="s">
        <v>60</v>
      </c>
      <c r="B18" s="18">
        <f>B17*Assumptions!B13</f>
        <v>9682109611956.23</v>
      </c>
    </row>
    <row r="19" spans="1:2" x14ac:dyDescent="0.25">
      <c r="A19" t="s">
        <v>61</v>
      </c>
      <c r="B19" s="18">
        <f>B18/(1+Assumptions!B26)^(5-0.5*Assumptions!B32)</f>
        <v>6443857275367.007</v>
      </c>
    </row>
    <row r="20" spans="1:2" x14ac:dyDescent="0.25">
      <c r="A20" t="s">
        <v>62</v>
      </c>
      <c r="B20" s="18">
        <f>Forecast!B17+B19</f>
        <v>6192764847276.463</v>
      </c>
    </row>
    <row r="21" spans="1:2" x14ac:dyDescent="0.25">
      <c r="A21" t="s">
        <v>63</v>
      </c>
      <c r="B21" s="18">
        <f>-Assumptions!B30</f>
        <v>-826227800000</v>
      </c>
    </row>
    <row r="22" spans="1:2" x14ac:dyDescent="0.25">
      <c r="A22" t="s">
        <v>64</v>
      </c>
      <c r="B22" s="18">
        <f>B20+B21</f>
        <v>5366537047276.463</v>
      </c>
    </row>
    <row r="23" spans="1:2" x14ac:dyDescent="0.25">
      <c r="A23" s="19" t="s">
        <v>65</v>
      </c>
      <c r="B23" s="25">
        <f>B22/Assumptions!B31</f>
        <v>4788.378065979664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2383.401666464378</v>
      </c>
    </row>
    <row r="29" spans="1:2" x14ac:dyDescent="0.25">
      <c r="A29" s="19" t="s">
        <v>73</v>
      </c>
      <c r="B29" s="12">
        <f>B28/B26-1</f>
        <v>-0.2190689166237293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0.074698</v>
      </c>
      <c r="B5" s="31">
        <v>3788.1044828980575</v>
      </c>
      <c r="C5" s="31">
        <v>3902.394561164757</v>
      </c>
      <c r="D5" s="31">
        <v>4035.942962822084</v>
      </c>
      <c r="E5" s="31">
        <v>4195.2125016617</v>
      </c>
      <c r="F5" s="31">
        <v>4389.921981092698</v>
      </c>
    </row>
    <row r="6" spans="1:6" x14ac:dyDescent="0.25">
      <c r="A6" s="30">
        <v>0.084698</v>
      </c>
      <c r="B6" s="31">
        <v>2944.3583035868082</v>
      </c>
      <c r="C6" s="31">
        <v>2986.407195787025</v>
      </c>
      <c r="D6" s="31">
        <v>3032.514398982217</v>
      </c>
      <c r="E6" s="31">
        <v>3083.7928362212115</v>
      </c>
      <c r="F6" s="31">
        <v>3141.8033049336223</v>
      </c>
    </row>
    <row r="7" spans="1:6" x14ac:dyDescent="0.25">
      <c r="A7" s="30">
        <v>0.094698</v>
      </c>
      <c r="B7" s="31">
        <v>2350.760671096633</v>
      </c>
      <c r="C7" s="31">
        <v>2367.0760241555195</v>
      </c>
      <c r="D7" s="32">
        <v>2383.3913772144024</v>
      </c>
      <c r="E7" s="31">
        <v>2399.706730273289</v>
      </c>
      <c r="F7" s="31">
        <v>2416.0220833321728</v>
      </c>
    </row>
    <row r="8" spans="1:6" x14ac:dyDescent="0.25">
      <c r="A8" s="30">
        <v>0.104698</v>
      </c>
      <c r="B8" s="31">
        <v>1919.608923069282</v>
      </c>
      <c r="C8" s="31">
        <v>1933.7742728703317</v>
      </c>
      <c r="D8" s="31">
        <v>1947.93962267138</v>
      </c>
      <c r="E8" s="31">
        <v>1962.1049724724285</v>
      </c>
      <c r="F8" s="31">
        <v>1976.2703222734779</v>
      </c>
    </row>
    <row r="9" spans="1:6" x14ac:dyDescent="0.25">
      <c r="A9" s="30">
        <v>0.114698</v>
      </c>
      <c r="B9" s="31">
        <v>1569.6806452649837</v>
      </c>
      <c r="C9" s="31">
        <v>1582.0971226031959</v>
      </c>
      <c r="D9" s="31">
        <v>1594.513599941408</v>
      </c>
      <c r="E9" s="31">
        <v>1606.9300772796205</v>
      </c>
      <c r="F9" s="31">
        <v>1619.3465546178327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1930979500000</v>
      </c>
      <c r="C5" s="18">
        <v>1556452600000</v>
      </c>
      <c r="D5" s="18">
        <v>1358030300000</v>
      </c>
      <c r="E5" s="18">
        <v>1190403800000</v>
      </c>
      <c r="F5" s="8" t="s">
        <v>84</v>
      </c>
    </row>
    <row r="6" spans="1:6" x14ac:dyDescent="0.25">
      <c r="A6" t="s">
        <v>44</v>
      </c>
      <c r="B6" s="18">
        <v>300286000000</v>
      </c>
      <c r="C6" s="18">
        <v>245772500000</v>
      </c>
      <c r="D6" s="18">
        <v>196098400000</v>
      </c>
      <c r="E6" s="18">
        <v>159886100000</v>
      </c>
      <c r="F6" s="8" t="s">
        <v>85</v>
      </c>
    </row>
    <row r="7" spans="1:6" x14ac:dyDescent="0.25">
      <c r="A7" t="s">
        <v>86</v>
      </c>
      <c r="B7" s="18">
        <v>66898000000</v>
      </c>
      <c r="C7" s="18">
        <v>55581800000</v>
      </c>
      <c r="D7" s="18">
        <v>45362600000</v>
      </c>
      <c r="E7" s="18">
        <v>43287000000</v>
      </c>
      <c r="F7" s="8" t="s">
        <v>87</v>
      </c>
    </row>
    <row r="8" spans="1:6" x14ac:dyDescent="0.25">
      <c r="A8" t="s">
        <v>88</v>
      </c>
      <c r="B8" s="18">
        <v>96054500000</v>
      </c>
      <c r="C8" s="18">
        <v>103919500000</v>
      </c>
      <c r="D8" s="18">
        <v>99459900000</v>
      </c>
      <c r="E8" s="18">
        <v>63045700000</v>
      </c>
      <c r="F8" s="8" t="s">
        <v>89</v>
      </c>
    </row>
    <row r="9" spans="1:6" x14ac:dyDescent="0.25">
      <c r="A9" t="s">
        <v>90</v>
      </c>
      <c r="B9" s="18">
        <v>110156900000</v>
      </c>
      <c r="C9" s="18">
        <v>141133400000</v>
      </c>
      <c r="D9" s="18">
        <v>191750900000</v>
      </c>
      <c r="E9" s="18">
        <v>199410400000</v>
      </c>
      <c r="F9" s="8" t="s">
        <v>91</v>
      </c>
    </row>
    <row r="10" spans="1:6" x14ac:dyDescent="0.25">
      <c r="A10" t="s">
        <v>92</v>
      </c>
      <c r="B10" s="18">
        <v>1339631500000</v>
      </c>
      <c r="C10" s="18">
        <v>1249493100000</v>
      </c>
      <c r="D10" s="18">
        <v>1066255200000</v>
      </c>
      <c r="E10" s="18">
        <v>922468500000</v>
      </c>
      <c r="F10" s="8" t="s">
        <v>93</v>
      </c>
    </row>
    <row r="11" spans="1:6" x14ac:dyDescent="0.25">
      <c r="A11" t="s">
        <v>94</v>
      </c>
      <c r="B11" s="18">
        <v>513403700000</v>
      </c>
      <c r="C11" s="18">
        <v>418724700000</v>
      </c>
      <c r="D11" s="18">
        <v>257457500000</v>
      </c>
      <c r="E11" s="18">
        <v>264582100000</v>
      </c>
      <c r="F11" s="8" t="s">
        <v>95</v>
      </c>
    </row>
    <row r="12" spans="1:6" x14ac:dyDescent="0.25">
      <c r="A12" t="s">
        <v>32</v>
      </c>
      <c r="B12" s="34">
        <v>1120742133</v>
      </c>
      <c r="C12" s="34">
        <v>1119724164</v>
      </c>
      <c r="D12" s="34">
        <v>1118758867</v>
      </c>
      <c r="E12" s="34">
        <v>1117314010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