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<sst xmlns="http://schemas.openxmlformats.org/spreadsheetml/2006/main" count="70" uniqueCount="67">
  <si>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Mastercard Incorporated (MA)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</si>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</sst>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0.8392</v>
      </c>
    </row>
    <row r="9" spans="1:2" x14ac:dyDescent="0.25">
      <c r="A9" t="s">
        <v>8</v>
      </c>
      <c r="B9" s="8">
        <f>B6+B8*B7</f>
        <v>0.08443816</v>
      </c>
    </row>
    <row r="10" spans="1:2" x14ac:dyDescent="0.25">
      <c r="A10" t="s">
        <v>9</v>
      </c>
      <c r="B10" s="8">
        <f>MEDIAN('Source data'!B9:E9)</f>
        <v>1.8579881656804733</v>
      </c>
    </row>
    <row r="11" spans="1:2" x14ac:dyDescent="0.25">
      <c r="A11" t="s">
        <v>10</v>
      </c>
      <c r="B11" s="8">
        <f>IFERROR(MIN(MAX(MEDIAN('Source data'!B10:E10),0),1),0)</f>
        <v>0.19015069131583034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7737000000</v>
      </c>
    </row>
    <row r="15" spans="1:2" x14ac:dyDescent="0.25">
      <c r="A15" t="s">
        <v>14</v>
      </c>
      <c r="B15" s="10">
        <f>'Source data'!B8</f>
        <v>906000000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0.19999999999999996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1.692189349112426</v>
      </c>
      <c r="C22" s="8">
        <f>$B$10+($B$18-$B$10)*C21/$B$16</f>
        <v>1.5263905325443785</v>
      </c>
      <c r="D22" s="8">
        <f>$B$10+($B$18-$B$10)*D21/$B$16</f>
        <v>1.3605917159763314</v>
      </c>
      <c r="E22" s="8">
        <f>$B$10+($B$18-$B$10)*E21/$B$16</f>
        <v>1.194792899408284</v>
      </c>
      <c r="F22" s="8">
        <f>$B$10+($B$18-$B$10)*F21/$B$16</f>
        <v>1.0289940828402366</v>
      </c>
      <c r="G22" s="8">
        <f>$B$10+($B$18-$B$10)*G21/$B$16</f>
        <v>0.8631952662721893</v>
      </c>
      <c r="H22" s="8">
        <f>$B$10+($B$18-$B$10)*H21/$B$16</f>
        <v>0.697396449704142</v>
      </c>
      <c r="I22" s="8">
        <f>$B$10+($B$18-$B$10)*I21/$B$16</f>
        <v>0.5315976331360945</v>
      </c>
      <c r="J22" s="8">
        <f>$B$10+($B$18-$B$10)*J21/$B$16</f>
        <v>0.36579881656804725</v>
      </c>
      <c r="K22" s="8">
        <f>$B$10+($B$18-$B$10)*K21/$B$16</f>
        <v>0.19999999999999996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7737000000</v>
      </c>
      <c r="C24" s="9">
        <f>B24*(1+B23)</f>
        <v>9149002500</v>
      </c>
      <c r="D24" s="9">
        <f>C24*(1+C23)</f>
        <v>10658587912.5</v>
      </c>
      <c r="E24" s="9">
        <f>D24*(1+D23)</f>
        <v>12230729629.59375</v>
      </c>
      <c r="F24" s="9">
        <f>E24*(1+E23)</f>
        <v>13820724481.440937</v>
      </c>
      <c r="G24" s="9">
        <f>F24*(1+F23)</f>
        <v>15375555985.603043</v>
      </c>
      <c r="H24" s="9">
        <f>G24*(1+G23)</f>
        <v>16836233804.23533</v>
      </c>
      <c r="I24" s="9">
        <f>H24*(1+H23)</f>
        <v>18141041924.06357</v>
      </c>
      <c r="J24" s="9">
        <f>I24*(1+I23)</f>
        <v>19229504439.50738</v>
      </c>
      <c r="K24" s="9">
        <f>J24*(1+J23)</f>
        <v>20046758378.186443</v>
      </c>
    </row>
    <row r="25" spans="1:11" x14ac:dyDescent="0.25">
      <c r="A25" t="s">
        <v>33</v>
      </c>
      <c r="B25" s="9">
        <f>(B22-$B$9)*B24</f>
        <v>12439170950.16284</v>
      </c>
      <c r="C25" s="9">
        <f>(C22-$B$9)*C24</f>
        <v>13192425861.289452</v>
      </c>
      <c r="D25" s="9">
        <f>(D22-$B$9)*D24</f>
        <v>13601994866.223219</v>
      </c>
      <c r="E25" s="9">
        <f>(E22-$B$9)*E24</f>
        <v>13580448610.640747</v>
      </c>
      <c r="F25" s="9">
        <f>(F22-$B$9)*F24</f>
        <v>13054447166.888094</v>
      </c>
      <c r="G25" s="9">
        <f>(G22-$B$9)*G24</f>
        <v>11973823486.674265</v>
      </c>
      <c r="H25" s="9">
        <f>(H22-$B$9)*H24</f>
        <v>10319909077.703148</v>
      </c>
      <c r="I25" s="9">
        <f>(I22-$B$9)*I24</f>
        <v>8111938748.904068</v>
      </c>
      <c r="J25" s="9">
        <f>(J22-$B$9)*J24</f>
        <v>5410425994.577976</v>
      </c>
      <c r="K25" s="9">
        <f>(K22-$B$9)*K24</f>
        <v>2316640284.2186403</v>
      </c>
    </row>
    <row r="26" spans="1:11" x14ac:dyDescent="0.25">
      <c r="A26" t="s">
        <v>34</v>
      </c>
      <c r="B26" s="14">
        <f>1/(1+$B$9)^B21</f>
        <v>0.9221364913975363</v>
      </c>
      <c r="C26" s="14">
        <f>1/(1+$B$9)^C21</f>
        <v>0.8503357087669585</v>
      </c>
      <c r="D26" s="14">
        <f>1/(1+$B$9)^D21</f>
        <v>0.7841255869924004</v>
      </c>
      <c r="E26" s="14">
        <f>1/(1+$B$9)^E21</f>
        <v>0.7230708176042057</v>
      </c>
      <c r="F26" s="14">
        <f>1/(1+$B$9)^F21</f>
        <v>0.6667699867774901</v>
      </c>
      <c r="G26" s="14">
        <f>1/(1+$B$9)^G21</f>
        <v>0.6148529361761763</v>
      </c>
      <c r="H26" s="14">
        <f>1/(1+$B$9)^H21</f>
        <v>0.5669783292909726</v>
      </c>
      <c r="I26" s="14">
        <f>1/(1+$B$9)^I21</f>
        <v>0.5228314072708145</v>
      </c>
      <c r="J26" s="14">
        <f>1/(1+$B$9)^J21</f>
        <v>0.4821219194931451</v>
      </c>
      <c r="K26" s="14">
        <f>1/(1+$B$9)^K21</f>
        <v>0.4445822152672543</v>
      </c>
    </row>
    <row r="27" spans="1:11" x14ac:dyDescent="0.25">
      <c r="A27" s="15" t="s">
        <v>35</v>
      </c>
      <c r="B27" s="16">
        <f>B25*B26</f>
        <v>11470613455.87732</v>
      </c>
      <c r="C27" s="16">
        <f>C25*C26</f>
        <v>11217990795.11512</v>
      </c>
      <c r="D27" s="16">
        <f>D25*D26</f>
        <v>10665672208.744898</v>
      </c>
      <c r="E27" s="16">
        <f>E25*E26</f>
        <v>9819626080.327904</v>
      </c>
      <c r="F27" s="16">
        <f>F25*F26</f>
        <v>8704313564.853418</v>
      </c>
      <c r="G27" s="16">
        <f>G25*G26</f>
        <v>7362140528.036933</v>
      </c>
      <c r="H27" s="16">
        <f>H25*H26</f>
        <v>5851164807.310873</v>
      </c>
      <c r="I27" s="16">
        <f>I25*I26</f>
        <v>4241176351.784164</v>
      </c>
      <c r="J27" s="16">
        <f>J25*J26</f>
        <v>2608484965.781543</v>
      </c>
      <c r="K27" s="16">
        <f>K25*K26</f>
        <v>1029937069.5352848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7737000000</v>
      </c>
    </row>
    <row r="31" spans="1:2" x14ac:dyDescent="0.25">
      <c r="A31" t="s">
        <v>38</v>
      </c>
      <c r="B31" s="9">
        <f>SUM(B27:K27)</f>
        <v>72971119827.36745</v>
      </c>
    </row>
    <row r="32" spans="1:2" x14ac:dyDescent="0.25">
      <c r="A32" t="s">
        <v>39</v>
      </c>
      <c r="B32" s="9">
        <f>K24*(1+K23)</f>
        <v>20547927337.6411</v>
      </c>
    </row>
    <row r="33" spans="1:2" x14ac:dyDescent="0.25">
      <c r="A33" t="s">
        <v>40</v>
      </c>
      <c r="B33" s="9">
        <f>(B18-B9)*B32</f>
        <v>2374556291.324107</v>
      </c>
    </row>
    <row r="34" spans="1:2" x14ac:dyDescent="0.25">
      <c r="A34" t="s">
        <v>41</v>
      </c>
      <c r="B34" s="9">
        <f>B33/(B9-B13)</f>
        <v>39950030272.20404</v>
      </c>
    </row>
    <row r="35" spans="1:2" x14ac:dyDescent="0.25">
      <c r="A35" t="s">
        <v>42</v>
      </c>
      <c r="B35" s="9">
        <f>B34*K26</f>
        <v>17761072958.410343</v>
      </c>
    </row>
    <row r="36" spans="1:2" x14ac:dyDescent="0.25">
      <c r="A36" s="15" t="s">
        <v>43</v>
      </c>
      <c r="B36" s="16">
        <f>B30+B31+B35</f>
        <v>98469192785.77779</v>
      </c>
    </row>
    <row r="37" spans="1:2" x14ac:dyDescent="0.25">
      <c r="A37" s="15" t="s">
        <v>44</v>
      </c>
      <c r="B37" s="17">
        <f>B36/B15</f>
        <v>108.68564325141035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638.01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108.68564325141035</v>
      </c>
    </row>
    <row r="43" spans="1:2" x14ac:dyDescent="0.25">
      <c r="A43" s="15" t="s">
        <v>48</v>
      </c>
      <c r="B43" s="21">
        <f>B42/B40-1</f>
        <v>-0.8296489972705594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14968000000</v>
      </c>
      <c r="C5" s="9">
        <v>12874000000</v>
      </c>
      <c r="D5" s="9">
        <v>11195000000</v>
      </c>
      <c r="E5" s="9">
        <v>9930000000</v>
      </c>
      <c r="F5" s="6" t="s">
        <v>57</v>
      </c>
    </row>
    <row r="6" spans="1:6" x14ac:dyDescent="0.25">
      <c r="A6" t="s">
        <v>37</v>
      </c>
      <c r="B6" s="9">
        <v>7737000000</v>
      </c>
      <c r="C6" s="9">
        <v>6485000000</v>
      </c>
      <c r="D6" s="9">
        <v>6929000000</v>
      </c>
      <c r="E6" s="9">
        <v>6298000000</v>
      </c>
      <c r="F6" s="6" t="s">
        <v>58</v>
      </c>
    </row>
    <row r="7" spans="1:6" x14ac:dyDescent="0.25">
      <c r="A7" t="s">
        <v>59</v>
      </c>
      <c r="B7" s="9">
        <v>2756000000</v>
      </c>
      <c r="C7" s="9">
        <v>2448000000</v>
      </c>
      <c r="D7" s="9">
        <v>2158000000</v>
      </c>
      <c r="E7" s="9">
        <v>1903000000</v>
      </c>
      <c r="F7" s="6" t="s">
        <v>60</v>
      </c>
    </row>
    <row r="8" spans="1:6" x14ac:dyDescent="0.25">
      <c r="A8" t="s">
        <v>14</v>
      </c>
      <c r="B8" s="10">
        <v>906000000</v>
      </c>
      <c r="C8" s="10">
        <v>927000000</v>
      </c>
      <c r="D8" s="10">
        <v>946000000</v>
      </c>
      <c r="E8" s="10">
        <v>971000000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2.308095605242868</v>
      </c>
      <c r="C9" s="8">
        <f>IF(AND(ISNUMBER(C5),N(D6)&gt;0),C5/D6,"")</f>
        <v>1.8579881656804733</v>
      </c>
      <c r="D9" s="8">
        <f>IF(AND(ISNUMBER(D5),N(E6)&gt;0),D5/E6,"")</f>
        <v>1.7775484280724039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0.18412613575628006</v>
      </c>
      <c r="C10" s="8">
        <f>IF(AND(ISNUMBER(C9),N(C5)&gt;0,ISNUMBER(C7)),C7/C5,"")</f>
        <v>0.19015069131583034</v>
      </c>
      <c r="D10" s="8">
        <f>IF(AND(ISNUMBER(D9),N(D5)&gt;0,ISNUMBER(D7)),D7/D5,"")</f>
        <v>0.1927646270656543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