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<sst xmlns="http://schemas.openxmlformats.org/spreadsheetml/2006/main" count="114" uniqueCount="102">
  <si>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Mastercard Incorporated (MA)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</si>
  <si>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</si>
  <si>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</si>
  <si>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</si>
  <si>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</si>
  <si>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</si>
  <si>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</si>
  <si>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</si>
  <si>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</si>
  <si>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</si>
  <si>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</si>
  <si>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</si>
  <si>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</si>
  <si>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</si>
  <si>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</si>
  <si>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</si>
  <si>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</si>
  <si>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</si>
  <si>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</si>
  <si>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</si>
  <si>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</si>
  <si>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</si>
  <si>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</si>
  <si>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</si>
  <si>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</si>
  <si>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</si>
  <si>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</si>
  <si>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</si>
  <si>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</si>
  <si>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</si>
  <si>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</si>
  <si>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</si>
  <si>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</si>
  <si>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</si>
  <si>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</si>
  <si>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</si>
  <si>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</si>
  <si>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</si>
  <si>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</si>
  <si>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</si>
  <si>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</si>
  <si>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</si>
  <si>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</si>
  <si>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</si>
  <si>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</si>
  <si>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</si>
  <si>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</si>
  <si>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</si>
  <si>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</si>
  <si>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</si>
  <si>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</si>
  <si>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</si>
  <si>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</si>
  <si>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</si>
  <si>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</si>
  <si>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</si>
  <si>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</si>
  <si>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</si>
  <si>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</si>
  <si>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</si>
  <si>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</si>
  <si>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</si>
  <si>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</si>
  <si>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</si>
  <si>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</si>
  <si>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</si>
  <si>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</si>
  <si>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</si>
  <si>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</si>
  <si>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</si>
  <si>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</si>
  <si>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</si>
  <si>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</si>
  <si>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</si>
  <si>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</si>
  <si>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</si>
  <si>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</si>
  <si>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</si>
  <si>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</si>
  <si>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</si>
  <si>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</si>
  <si>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</si>
  <si>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</si>
  <si>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</si>
  <si>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</si>
  <si>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</si>
  <si>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</si>
  <si>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</si>
  <si>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</si>
  <si>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</si>
  <si>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</si>
  <si>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</si>
  <si>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</si>
  <si>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</si>
  <si>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</si>
  <si>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</si>
  <si>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</si>
  <si>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</si>
  <si>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</si>
  <si>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4.3% of revenue against depreciation of 3.3%. A perpetuity has to be a steady state, so the terminal year uses maintenance capex at depreciation and then charges the reinvestment terminal growth requires (g/ROIC of NOPAT). The bridge is shown under Terminal Value.</t>
  </si>
  <si>
    <t>Current EV/EBITDA of 24.4x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</si>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</sst>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0.1382198495222513</v>
      </c>
    </row>
    <row r="7" spans="1:2" x14ac:dyDescent="0.25">
      <c r="A7" t="s">
        <v>5</v>
      </c>
      <c r="B7" s="6">
        <v>0.5824441950215915</v>
      </c>
    </row>
    <row r="8" spans="1:2" x14ac:dyDescent="0.25">
      <c r="A8" t="s">
        <v>6</v>
      </c>
      <c r="B8" s="6">
        <v>0.1676083360739497</v>
      </c>
    </row>
    <row r="9" spans="1:2" x14ac:dyDescent="0.25">
      <c r="A9" t="s">
        <v>7</v>
      </c>
      <c r="B9" s="6">
        <v>0.033066419890374135</v>
      </c>
    </row>
    <row r="10" spans="1:2" x14ac:dyDescent="0.25">
      <c r="A10" t="s">
        <v>8</v>
      </c>
      <c r="B10" s="6">
        <v>0.04303128564499011</v>
      </c>
    </row>
    <row r="11" spans="1:2" x14ac:dyDescent="0.25">
      <c r="A11" t="s">
        <v>9</v>
      </c>
      <c r="B11" s="6">
        <v>0.3388725969371131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0.5442912210181385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0.8224499999999999</v>
      </c>
      <c r="C19" s="8" t="s">
        <v>19</v>
      </c>
    </row>
    <row r="20" spans="1:2" x14ac:dyDescent="0.25">
      <c r="A20" t="s">
        <v>20</v>
      </c>
      <c r="B20" s="10">
        <f>B17+B19*B18</f>
        <v>0.09521475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495155838976</v>
      </c>
    </row>
    <row r="23" spans="1:2" x14ac:dyDescent="0.25">
      <c r="A23" t="s">
        <v>24</v>
      </c>
      <c r="B23" s="11">
        <v>19000000000</v>
      </c>
    </row>
    <row r="24" spans="1:2" x14ac:dyDescent="0.25">
      <c r="A24" t="s">
        <v>25</v>
      </c>
      <c r="B24" s="10">
        <f>B22/(B22+B23)</f>
        <v>0.9630462234215978</v>
      </c>
    </row>
    <row r="25" spans="1:2" x14ac:dyDescent="0.25">
      <c r="A25" t="s">
        <v>26</v>
      </c>
      <c r="B25" s="10">
        <f>1-B24</f>
        <v>0.03695377657840215</v>
      </c>
    </row>
    <row r="26" spans="1:2" x14ac:dyDescent="0.25">
      <c r="A26" t="s">
        <v>27</v>
      </c>
      <c r="B26" s="12">
        <f>B24*B20+B25*B21*(1-B8)</f>
        <v>0.09323359097994248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32791000000</v>
      </c>
      <c r="C29" s="8" t="s">
        <v>30</v>
      </c>
    </row>
    <row r="30" spans="1:2" x14ac:dyDescent="0.25">
      <c r="A30" t="s">
        <v>31</v>
      </c>
      <c r="B30" s="11">
        <v>8102000000</v>
      </c>
    </row>
    <row r="31" spans="1:2" x14ac:dyDescent="0.25">
      <c r="A31" t="s">
        <v>32</v>
      </c>
      <c r="B31" s="13">
        <v>906000000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0.1382198495222513</v>
      </c>
      <c r="C5" s="10">
        <f>Assumptions!B6</f>
        <v>0.1382198495222513</v>
      </c>
      <c r="D5" s="10">
        <f>Assumptions!B6</f>
        <v>0.1382198495222513</v>
      </c>
      <c r="E5" s="10">
        <f>Assumptions!B6</f>
        <v>0.1382198495222513</v>
      </c>
      <c r="F5" s="10">
        <f>Assumptions!B6</f>
        <v>0.1382198495222513</v>
      </c>
    </row>
    <row r="6" spans="1:6" x14ac:dyDescent="0.25">
      <c r="A6" t="s">
        <v>43</v>
      </c>
      <c r="B6" s="18">
        <f>Assumptions!B29*(1+B5)</f>
        <v>37323367085.68414</v>
      </c>
      <c r="C6" s="18">
        <f>B6*(1+C5)</f>
        <v>42482197267.93115</v>
      </c>
      <c r="D6" s="18">
        <f>C6*(1+D5)</f>
        <v>48354080181.67919</v>
      </c>
      <c r="E6" s="18">
        <f>D6*(1+E5)</f>
        <v>55037573868.177765</v>
      </c>
      <c r="F6" s="18">
        <f>E6*(1+F5)</f>
        <v>62644859046.30708</v>
      </c>
    </row>
    <row r="7" spans="1:6" x14ac:dyDescent="0.25">
      <c r="A7" t="s">
        <v>5</v>
      </c>
      <c r="B7" s="10">
        <f>Assumptions!B7</f>
        <v>0.5824441950215915</v>
      </c>
      <c r="C7" s="10">
        <f>Assumptions!B7</f>
        <v>0.5824441950215915</v>
      </c>
      <c r="D7" s="10">
        <f>Assumptions!B7</f>
        <v>0.5824441950215915</v>
      </c>
      <c r="E7" s="10">
        <f>Assumptions!B7</f>
        <v>0.5824441950215915</v>
      </c>
      <c r="F7" s="10">
        <f>Assumptions!B7</f>
        <v>0.5824441950215915</v>
      </c>
    </row>
    <row r="8" spans="1:6" x14ac:dyDescent="0.25">
      <c r="A8" t="s">
        <v>44</v>
      </c>
      <c r="B8" s="18">
        <f>B6*B7</f>
        <v>21738778497.716663</v>
      </c>
      <c r="C8" s="18">
        <f>C6*C7</f>
        <v>24743509190.468613</v>
      </c>
      <c r="D8" s="18">
        <f>D6*D7</f>
        <v>28163553307.427628</v>
      </c>
      <c r="E8" s="18">
        <f>E6*E7</f>
        <v>32056315407.59218</v>
      </c>
      <c r="F8" s="18">
        <f>F6*F7</f>
        <v>36487134499.46739</v>
      </c>
    </row>
    <row r="9" spans="1:6" x14ac:dyDescent="0.25">
      <c r="A9" t="s">
        <v>45</v>
      </c>
      <c r="B9" s="18">
        <f>B8*(1-Assumptions!B8)</f>
        <v>18095178005.434216</v>
      </c>
      <c r="C9" s="18">
        <f>C8*(1-Assumptions!B8)</f>
        <v>20596290786.423683</v>
      </c>
      <c r="D9" s="18">
        <f>D8*(1-Assumptions!B8)</f>
        <v>23443106999.639698</v>
      </c>
      <c r="E9" s="18">
        <f>E8*(1-Assumptions!B8)</f>
        <v>26683409721.463936</v>
      </c>
      <c r="F9" s="18">
        <f>F8*(1-Assumptions!B8)</f>
        <v>30371586597.905254</v>
      </c>
    </row>
    <row r="10" spans="1:6" x14ac:dyDescent="0.25">
      <c r="A10" t="s">
        <v>46</v>
      </c>
      <c r="B10" s="18">
        <f>B6*Assumptions!B9</f>
        <v>1234150127.7778015</v>
      </c>
      <c r="C10" s="18">
        <f>C6*Assumptions!B9</f>
        <v>1404734172.7271163</v>
      </c>
      <c r="D10" s="18">
        <f>D6*Assumptions!B9</f>
        <v>1598896318.7002225</v>
      </c>
      <c r="E10" s="18">
        <f>E6*Assumptions!B9</f>
        <v>1819895527.272649</v>
      </c>
      <c r="F10" s="18">
        <f>F6*Assumptions!B9</f>
        <v>2071441213.1984925</v>
      </c>
    </row>
    <row r="11" spans="1:6" x14ac:dyDescent="0.25">
      <c r="A11" t="s">
        <v>47</v>
      </c>
      <c r="B11" s="18">
        <f>-B6*Assumptions!B10</f>
        <v>-1606072470.2968965</v>
      </c>
      <c r="C11" s="18">
        <f>-C6*Assumptions!B10</f>
        <v>-1828063565.4631639</v>
      </c>
      <c r="D11" s="18">
        <f>-D6*Assumptions!B10</f>
        <v>-2080738236.3985927</v>
      </c>
      <c r="E11" s="18">
        <f>-E6*Assumptions!B10</f>
        <v>-2368337562.3288007</v>
      </c>
      <c r="F11" s="18">
        <f>-F6*Assumptions!B10</f>
        <v>-2695688823.811783</v>
      </c>
    </row>
    <row r="12" spans="1:6" x14ac:dyDescent="0.25">
      <c r="A12" t="s">
        <v>48</v>
      </c>
      <c r="B12" s="18">
        <f>-(B6-Assumptions!B29)*Assumptions!B11</f>
        <v>-1535895004.5980804</v>
      </c>
      <c r="C12" s="18">
        <f>-(C6-B6)*Assumptions!B11</f>
        <v>-1748186181.0156045</v>
      </c>
      <c r="D12" s="18">
        <f>-(D6-C6)*Assumptions!B11</f>
        <v>-1989820211.8924603</v>
      </c>
      <c r="E12" s="18">
        <f>-(E6-D6)*Assumptions!B11</f>
        <v>-2264852862.156571</v>
      </c>
      <c r="F12" s="18">
        <f>-(F6-E6)*Assumptions!B11</f>
        <v>-2577900483.953891</v>
      </c>
    </row>
    <row r="13" spans="1:6" x14ac:dyDescent="0.25">
      <c r="A13" s="19" t="s">
        <v>49</v>
      </c>
      <c r="B13" s="20">
        <f>B9+B10+B11+B12</f>
        <v>16187360658.31704</v>
      </c>
      <c r="C13" s="20">
        <f>C9+C10+C11+C12</f>
        <v>18424775212.672028</v>
      </c>
      <c r="D13" s="20">
        <f>D9+D10+D11+D12</f>
        <v>20971444870.048866</v>
      </c>
      <c r="E13" s="20">
        <f>E9+E10+E11+E12</f>
        <v>23870114824.251213</v>
      </c>
      <c r="F13" s="20">
        <f>F9+F10+F11+F12</f>
        <v>27169438503.338074</v>
      </c>
    </row>
    <row r="14" spans="1:6" x14ac:dyDescent="0.25">
      <c r="A14" t="s">
        <v>50</v>
      </c>
      <c r="B14" s="21">
        <f>1/(1+Assumptions!$B$26)^(1-0.5*Assumptions!$B$32)</f>
        <v>0.9564086961025873</v>
      </c>
      <c r="C14" s="21">
        <f>1/(1+Assumptions!$B$26)^(2-0.5*Assumptions!$B$32)</f>
        <v>0.87484386136113</v>
      </c>
      <c r="D14" s="21">
        <f>1/(1+Assumptions!$B$26)^(3-0.5*Assumptions!$B$32)</f>
        <v>0.800235071972995</v>
      </c>
      <c r="E14" s="21">
        <f>1/(1+Assumptions!$B$26)^(4-0.5*Assumptions!$B$32)</f>
        <v>0.7319890996540711</v>
      </c>
      <c r="F14" s="21">
        <f>1/(1+Assumptions!$B$26)^(5-0.5*Assumptions!$B$32)</f>
        <v>0.6695633080556348</v>
      </c>
    </row>
    <row r="15" spans="1:6" x14ac:dyDescent="0.25">
      <c r="A15" s="19" t="s">
        <v>51</v>
      </c>
      <c r="B15" s="20">
        <f>B13*B14</f>
        <v>15481732500.563318</v>
      </c>
      <c r="C15" s="20">
        <f>C13*C14</f>
        <v>16118801491.764832</v>
      </c>
      <c r="D15" s="20">
        <f>D13*D14</f>
        <v>16782085694.961252</v>
      </c>
      <c r="E15" s="20">
        <f>E13*E14</f>
        <v>17472663858.84294</v>
      </c>
      <c r="F15" s="20">
        <f>F13*F14</f>
        <v>18191659122.309177</v>
      </c>
    </row>
    <row r="17" spans="1:2" x14ac:dyDescent="0.25">
      <c r="A17" s="22" t="s">
        <v>52</v>
      </c>
      <c r="B17" s="23">
        <f>SUM(B15:F15)</f>
        <v>84046942668.44151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27169438503.338074</v>
      </c>
    </row>
    <row r="5" spans="1:2" x14ac:dyDescent="0.25">
      <c r="A5" t="s">
        <v>56</v>
      </c>
      <c r="B5" s="18">
        <f>IF(Assumptions!$B$33=0,B4,B4-Forecast!F11-Forecast!F10-Forecast!F12)</f>
        <v>30371586597.905254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0.04593129382692519</v>
      </c>
    </row>
    <row r="7" spans="1:2" x14ac:dyDescent="0.25">
      <c r="A7" t="s">
        <v>58</v>
      </c>
      <c r="B7" s="18">
        <f>-MAX(Forecast!F9,0)*B6</f>
        <v>-1395006268.0182896</v>
      </c>
    </row>
    <row r="8" spans="1:2" x14ac:dyDescent="0.25">
      <c r="A8" t="s">
        <v>59</v>
      </c>
      <c r="B8" s="18">
        <f>IF(OR(Assumptions!$B$33=0,Assumptions!B12&lt;=0),B5,MAX(B5+B7,0))</f>
        <v>28976580329.886963</v>
      </c>
    </row>
    <row r="9" spans="1:2" x14ac:dyDescent="0.25">
      <c r="A9" t="s">
        <v>60</v>
      </c>
      <c r="B9" s="18">
        <f>B8*(1+Assumptions!B12)/(Assumptions!B26-Assumptions!B12)</f>
        <v>435284064807.09564</v>
      </c>
    </row>
    <row r="10" spans="1:2" x14ac:dyDescent="0.25">
      <c r="A10" t="s">
        <v>61</v>
      </c>
      <c r="B10" s="18">
        <f>B9/(1+Assumptions!B26)^(5-0.5*Assumptions!B32)</f>
        <v>291450238376.1423</v>
      </c>
    </row>
    <row r="11" spans="1:2" x14ac:dyDescent="0.25">
      <c r="A11" t="s">
        <v>62</v>
      </c>
      <c r="B11" s="18">
        <f>Forecast!B17+B10</f>
        <v>375497181044.5838</v>
      </c>
    </row>
    <row r="12" spans="1:2" x14ac:dyDescent="0.25">
      <c r="A12" t="s">
        <v>63</v>
      </c>
      <c r="B12" s="18">
        <f>-Assumptions!B30</f>
        <v>-8102000000</v>
      </c>
    </row>
    <row r="13" spans="1:2" x14ac:dyDescent="0.25">
      <c r="A13" t="s">
        <v>64</v>
      </c>
      <c r="B13" s="18">
        <f>B11+B12</f>
        <v>367395181044.5838</v>
      </c>
    </row>
    <row r="14" spans="1:2" x14ac:dyDescent="0.25">
      <c r="A14" s="19" t="s">
        <v>65</v>
      </c>
      <c r="B14" s="24">
        <f>B13/Assumptions!B31</f>
        <v>405.51344486157154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38558575712.665886</v>
      </c>
    </row>
    <row r="18" spans="1:2" x14ac:dyDescent="0.25">
      <c r="A18" t="s">
        <v>60</v>
      </c>
      <c r="B18" s="18">
        <f>B17*Assumptions!B13</f>
        <v>771171514253.3177</v>
      </c>
    </row>
    <row r="19" spans="1:2" x14ac:dyDescent="0.25">
      <c r="A19" t="s">
        <v>61</v>
      </c>
      <c r="B19" s="18">
        <f>B18/(1+Assumptions!B26)^(5-0.5*Assumptions!B32)</f>
        <v>516348150161.72455</v>
      </c>
    </row>
    <row r="20" spans="1:2" x14ac:dyDescent="0.25">
      <c r="A20" t="s">
        <v>62</v>
      </c>
      <c r="B20" s="18">
        <f>Forecast!B17+B19</f>
        <v>600395092830.166</v>
      </c>
    </row>
    <row r="21" spans="1:2" x14ac:dyDescent="0.25">
      <c r="A21" t="s">
        <v>63</v>
      </c>
      <c r="B21" s="18">
        <f>-Assumptions!B30</f>
        <v>-8102000000</v>
      </c>
    </row>
    <row r="22" spans="1:2" x14ac:dyDescent="0.25">
      <c r="A22" t="s">
        <v>64</v>
      </c>
      <c r="B22" s="18">
        <f>B20+B21</f>
        <v>592293092830.166</v>
      </c>
    </row>
    <row r="23" spans="1:2" x14ac:dyDescent="0.25">
      <c r="A23" s="19" t="s">
        <v>65</v>
      </c>
      <c r="B23" s="25">
        <f>B22/Assumptions!B31</f>
        <v>653.7451355741347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565.24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405.51344486157154</v>
      </c>
    </row>
    <row r="29" spans="1:2" x14ac:dyDescent="0.25">
      <c r="A29" s="19" t="s">
        <v>73</v>
      </c>
      <c r="B29" s="12">
        <f>B28/B26-1</f>
        <v>-0.28258183274083304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0.073234</v>
      </c>
      <c r="B5" s="31">
        <v>501.78138454757254</v>
      </c>
      <c r="C5" s="31">
        <v>538.5443347038625</v>
      </c>
      <c r="D5" s="31">
        <v>582.8826250712057</v>
      </c>
      <c r="E5" s="31">
        <v>637.4245135754428</v>
      </c>
      <c r="F5" s="31">
        <v>706.1730857439422</v>
      </c>
    </row>
    <row r="6" spans="1:6" x14ac:dyDescent="0.25">
      <c r="A6" s="30">
        <v>0.083234</v>
      </c>
      <c r="B6" s="31">
        <v>424.448543877472</v>
      </c>
      <c r="C6" s="31">
        <v>449.537879360473</v>
      </c>
      <c r="D6" s="31">
        <v>478.8986782160261</v>
      </c>
      <c r="E6" s="31">
        <v>513.7345312054547</v>
      </c>
      <c r="F6" s="31">
        <v>555.7480923074487</v>
      </c>
    </row>
    <row r="7" spans="1:6" x14ac:dyDescent="0.25">
      <c r="A7" s="30">
        <v>0.093234</v>
      </c>
      <c r="B7" s="31">
        <v>367.00532048614315</v>
      </c>
      <c r="C7" s="31">
        <v>384.9577102268012</v>
      </c>
      <c r="D7" s="32">
        <v>405.5108853729789</v>
      </c>
      <c r="E7" s="31">
        <v>429.28178904203077</v>
      </c>
      <c r="F7" s="31">
        <v>457.0992485142932</v>
      </c>
    </row>
    <row r="8" spans="1:6" x14ac:dyDescent="0.25">
      <c r="A8" s="30">
        <v>0.103234</v>
      </c>
      <c r="B8" s="31">
        <v>322.68371281893155</v>
      </c>
      <c r="C8" s="31">
        <v>335.9945459705568</v>
      </c>
      <c r="D8" s="31">
        <v>350.98149442836007</v>
      </c>
      <c r="E8" s="31">
        <v>367.98786498416877</v>
      </c>
      <c r="F8" s="31">
        <v>387.45759074274105</v>
      </c>
    </row>
    <row r="9" spans="1:6" x14ac:dyDescent="0.25">
      <c r="A9" s="30">
        <v>0.113234</v>
      </c>
      <c r="B9" s="31">
        <v>287.47188098070586</v>
      </c>
      <c r="C9" s="31">
        <v>297.61881769571886</v>
      </c>
      <c r="D9" s="31">
        <v>308.89421956059226</v>
      </c>
      <c r="E9" s="31">
        <v>321.5014527147393</v>
      </c>
      <c r="F9" s="31">
        <v>335.69587249393567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32791000000</v>
      </c>
      <c r="C5" s="18">
        <v>28167000000</v>
      </c>
      <c r="D5" s="18">
        <v>25098000000</v>
      </c>
      <c r="E5" s="18">
        <v>22237000000</v>
      </c>
      <c r="F5" s="8" t="s">
        <v>84</v>
      </c>
    </row>
    <row r="6" spans="1:6" x14ac:dyDescent="0.25">
      <c r="A6" t="s">
        <v>44</v>
      </c>
      <c r="B6" s="18">
        <v>19514000000</v>
      </c>
      <c r="C6" s="18">
        <v>16327000000</v>
      </c>
      <c r="D6" s="18">
        <v>14630000000</v>
      </c>
      <c r="E6" s="18">
        <v>12722000000</v>
      </c>
      <c r="F6" s="8" t="s">
        <v>85</v>
      </c>
    </row>
    <row r="7" spans="1:6" x14ac:dyDescent="0.25">
      <c r="A7" t="s">
        <v>86</v>
      </c>
      <c r="B7" s="18">
        <v>1143000000</v>
      </c>
      <c r="C7" s="18">
        <v>897000000</v>
      </c>
      <c r="D7" s="18">
        <v>799000000</v>
      </c>
      <c r="E7" s="18">
        <v>750000000</v>
      </c>
      <c r="F7" s="8" t="s">
        <v>87</v>
      </c>
    </row>
    <row r="8" spans="1:6" x14ac:dyDescent="0.25">
      <c r="A8" t="s">
        <v>88</v>
      </c>
      <c r="B8" s="18">
        <v>1215000000</v>
      </c>
      <c r="C8" s="18">
        <v>1194000000</v>
      </c>
      <c r="D8" s="18">
        <v>1088000000</v>
      </c>
      <c r="E8" s="18">
        <v>1097000000</v>
      </c>
      <c r="F8" s="8" t="s">
        <v>89</v>
      </c>
    </row>
    <row r="9" spans="1:6" x14ac:dyDescent="0.25">
      <c r="A9" t="s">
        <v>90</v>
      </c>
      <c r="B9" s="18">
        <v>1442000000</v>
      </c>
      <c r="C9" s="18">
        <v>1040000000</v>
      </c>
      <c r="D9" s="18">
        <v>1943000000</v>
      </c>
      <c r="E9" s="18">
        <v>904000000</v>
      </c>
      <c r="F9" s="8" t="s">
        <v>91</v>
      </c>
    </row>
    <row r="10" spans="1:6" x14ac:dyDescent="0.25">
      <c r="A10" t="s">
        <v>92</v>
      </c>
      <c r="B10" s="18">
        <v>19000000000</v>
      </c>
      <c r="C10" s="18">
        <v>18226000000</v>
      </c>
      <c r="D10" s="18">
        <v>15681000000</v>
      </c>
      <c r="E10" s="18">
        <v>14023000000</v>
      </c>
      <c r="F10" s="8" t="s">
        <v>93</v>
      </c>
    </row>
    <row r="11" spans="1:6" x14ac:dyDescent="0.25">
      <c r="A11" t="s">
        <v>94</v>
      </c>
      <c r="B11" s="18">
        <v>10898000000</v>
      </c>
      <c r="C11" s="18">
        <v>8772000000</v>
      </c>
      <c r="D11" s="18">
        <v>9180000000</v>
      </c>
      <c r="E11" s="18">
        <v>7408000000</v>
      </c>
      <c r="F11" s="8" t="s">
        <v>95</v>
      </c>
    </row>
    <row r="12" spans="1:6" x14ac:dyDescent="0.25">
      <c r="A12" t="s">
        <v>32</v>
      </c>
      <c r="B12" s="34">
        <v>906000000</v>
      </c>
      <c r="C12" s="34">
        <v>927000000</v>
      </c>
      <c r="D12" s="34">
        <v>946000000</v>
      </c>
      <c r="E12" s="34">
        <v>971000000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2026-09-19T01:04:00Z</dcterms:modified>
</cp:coreProperties>
</file>