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<sst xmlns="http://schemas.openxmlformats.org/spreadsheetml/2006/main" count="119" uniqueCount="106">
  <si>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Mid-America Apartment Communities, Inc. (MAA)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</si>
  <si>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</si>
  <si>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</si>
  <si>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</si>
  <si>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</si>
  <si>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</si>
  <si>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</si>
  <si>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</si>
  <si>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</si>
  <si>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</si>
  <si>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</si>
  <si>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</si>
  <si>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</si>
  <si>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</si>
  <si>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Depreciation alone, % of revenue</t>
  </si>
  <si>
    <t>The accounts do not separate it from amortisation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</si>
  <si>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</si>
  <si>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</si>
  <si>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</si>
  <si>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</si>
  <si>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</si>
  <si>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</si>
  <si>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</si>
  <si>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</si>
  <si>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+ 89bp, the spread for a A- rating at 3.3x interest cover. Book interest / average debt was lower, at 3.6%.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</si>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</sst>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0.008189804474710849</v>
      </c>
    </row>
    <row r="7" spans="1:2" x14ac:dyDescent="0.25">
      <c r="A7" t="s">
        <v>4</v>
      </c>
      <c r="B7" s="5">
        <v>0.30303534191950665</v>
      </c>
    </row>
    <row r="8" spans="1:2" x14ac:dyDescent="0.25">
      <c r="A8" t="s">
        <v>5</v>
      </c>
      <c r="B8" s="5">
        <v>0.009617061106879685</v>
      </c>
    </row>
    <row r="9" spans="1:2" x14ac:dyDescent="0.25">
      <c r="A9" t="s">
        <v>6</v>
      </c>
      <c r="B9" s="5">
        <v>0.2705852816883622</v>
      </c>
    </row>
    <row r="10" spans="1:3" x14ac:dyDescent="0.25">
      <c r="A10" t="s">
        <v>7</v>
      </c>
      <c r="B10" s="5">
        <v>0.1539138150105155</v>
      </c>
      <c r="C10" s="6" t="s">
        <v>8</v>
      </c>
    </row>
    <row r="11" spans="1:2" x14ac:dyDescent="0.25">
      <c r="A11" t="s">
        <v>9</v>
      </c>
      <c r="B11" s="5">
        <v>0.1901447877949021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15.54493699407682</v>
      </c>
    </row>
    <row r="14" spans="1:3" x14ac:dyDescent="0.25">
      <c r="A14" t="s">
        <v>12</v>
      </c>
      <c r="B14" s="5">
        <v>0.07625663101921425</v>
      </c>
      <c r="C14" s="6" t="s">
        <v>13</v>
      </c>
    </row>
    <row r="15" spans="1:3" x14ac:dyDescent="0.25">
      <c r="A15" t="s">
        <v>14</v>
      </c>
      <c r="B15" s="5">
        <v>0.2705852816883622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0.8204400000000001</v>
      </c>
      <c r="C19" s="6" t="s">
        <v>21</v>
      </c>
    </row>
    <row r="20" spans="1:2" x14ac:dyDescent="0.25">
      <c r="A20" t="s">
        <v>22</v>
      </c>
      <c r="B20" s="9">
        <f>B17+B19*B18</f>
        <v>0.08364461200000001</v>
      </c>
    </row>
    <row r="21" spans="1:3" x14ac:dyDescent="0.25">
      <c r="A21" t="s">
        <v>23</v>
      </c>
      <c r="B21" s="5">
        <v>0.05784</v>
      </c>
      <c r="C21" s="6" t="s">
        <v>24</v>
      </c>
    </row>
    <row r="22" spans="1:2" x14ac:dyDescent="0.25">
      <c r="A22" t="s">
        <v>25</v>
      </c>
      <c r="B22" s="10">
        <v>13943745536</v>
      </c>
    </row>
    <row r="23" spans="1:2" x14ac:dyDescent="0.25">
      <c r="A23" t="s">
        <v>26</v>
      </c>
      <c r="B23" s="10">
        <v>5429651000</v>
      </c>
    </row>
    <row r="24" spans="1:2" x14ac:dyDescent="0.25">
      <c r="A24" t="s">
        <v>27</v>
      </c>
      <c r="B24" s="9">
        <f>B22/(B22+B23)</f>
        <v>0.7197367539599717</v>
      </c>
    </row>
    <row r="25" spans="1:2" x14ac:dyDescent="0.25">
      <c r="A25" t="s">
        <v>28</v>
      </c>
      <c r="B25" s="9">
        <f>1-B24</f>
        <v>0.2802632460400283</v>
      </c>
    </row>
    <row r="26" spans="1:2" x14ac:dyDescent="0.25">
      <c r="A26" t="s">
        <v>29</v>
      </c>
      <c r="B26" s="11">
        <f>B24*B20+B25*B21*(1-B8)</f>
        <v>0.07625663101921425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2209126000</v>
      </c>
      <c r="C29" s="6" t="s">
        <v>32</v>
      </c>
    </row>
    <row r="30" spans="1:2" x14ac:dyDescent="0.25">
      <c r="A30" t="s">
        <v>33</v>
      </c>
      <c r="B30" s="10">
        <v>5369393000</v>
      </c>
    </row>
    <row r="31" spans="1:2" x14ac:dyDescent="0.25">
      <c r="A31" t="s">
        <v>34</v>
      </c>
      <c r="B31" s="12">
        <v>117148531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0.008189804474710849</v>
      </c>
      <c r="C5" s="5">
        <v>0.02391704475525791</v>
      </c>
      <c r="D5" s="5">
        <v>0.02405241416085067</v>
      </c>
      <c r="E5" s="5">
        <v>0.02418778356644343</v>
      </c>
      <c r="F5" s="5">
        <v>0.024323152972036195</v>
      </c>
      <c r="G5" s="5">
        <v>0.024458522377628956</v>
      </c>
      <c r="H5" s="5">
        <v>0.024593891783221716</v>
      </c>
      <c r="I5" s="5">
        <v>0.02472926118881448</v>
      </c>
      <c r="J5" s="5">
        <v>0.02486463059440724</v>
      </c>
      <c r="K5" s="5">
        <v>0.025</v>
      </c>
    </row>
    <row r="6" spans="1:11" x14ac:dyDescent="0.25">
      <c r="A6" t="s">
        <v>50</v>
      </c>
      <c r="B6" s="18">
        <f>Assumptions!B29*(1+B5)</f>
        <v>2227218310</v>
      </c>
      <c r="C6" s="18">
        <f>B6*(1+C5)</f>
        <v>2280486790</v>
      </c>
      <c r="D6" s="18">
        <f>C6*(1+D5)</f>
        <v>2335338002.761429</v>
      </c>
      <c r="E6" s="18">
        <f>D6*(1+E5)</f>
        <v>2391824652.9267125</v>
      </c>
      <c r="F6" s="18">
        <f>E6*(1+F5)</f>
        <v>2450001369.8421364</v>
      </c>
      <c r="G6" s="18">
        <f>F6*(1+G5)</f>
        <v>2509924783.171642</v>
      </c>
      <c r="H6" s="18">
        <f>G6*(1+H5)</f>
        <v>2571653601.6729918</v>
      </c>
      <c r="I6" s="18">
        <f>H6*(1+I5)</f>
        <v>2635248695.275919</v>
      </c>
      <c r="J6" s="18">
        <f>I6*(1+J5)</f>
        <v>2700773180.608348</v>
      </c>
      <c r="K6" s="18">
        <f>J6*(1+K5)</f>
        <v>2768292510.123556</v>
      </c>
    </row>
    <row r="7" spans="1:11" x14ac:dyDescent="0.25">
      <c r="A7" t="s">
        <v>4</v>
      </c>
      <c r="B7" s="9">
        <f>Assumptions!B7</f>
        <v>0.30303534191950665</v>
      </c>
      <c r="C7" s="9">
        <f>Assumptions!B7</f>
        <v>0.30303534191950665</v>
      </c>
      <c r="D7" s="9">
        <f>Assumptions!B7</f>
        <v>0.30303534191950665</v>
      </c>
      <c r="E7" s="9">
        <f>Assumptions!B7</f>
        <v>0.30303534191950665</v>
      </c>
      <c r="F7" s="9">
        <f>Assumptions!B7</f>
        <v>0.30303534191950665</v>
      </c>
      <c r="G7" s="9">
        <f>Assumptions!B7</f>
        <v>0.30303534191950665</v>
      </c>
      <c r="H7" s="9">
        <f>Assumptions!B7</f>
        <v>0.30303534191950665</v>
      </c>
      <c r="I7" s="9">
        <f>Assumptions!B7</f>
        <v>0.30303534191950665</v>
      </c>
      <c r="J7" s="9">
        <f>Assumptions!B7</f>
        <v>0.30303534191950665</v>
      </c>
      <c r="K7" s="9">
        <f>Assumptions!B7</f>
        <v>0.30303534191950665</v>
      </c>
    </row>
    <row r="8" spans="1:11" x14ac:dyDescent="0.25">
      <c r="A8" t="s">
        <v>51</v>
      </c>
      <c r="B8" s="18">
        <f>B6*B7</f>
        <v>674925862.1002357</v>
      </c>
      <c r="C8" s="18">
        <f>C6*C7</f>
        <v>691068094.1505681</v>
      </c>
      <c r="D8" s="18">
        <f>D6*D7</f>
        <v>707689950.1644274</v>
      </c>
      <c r="E8" s="18">
        <f>E6*E7</f>
        <v>724807401.5111517</v>
      </c>
      <c r="F8" s="18">
        <f>F6*F7</f>
        <v>742437002.8133714</v>
      </c>
      <c r="G8" s="18">
        <f>G6*G7</f>
        <v>760595914.8606621</v>
      </c>
      <c r="H8" s="18">
        <f>H6*H7</f>
        <v>779301928.4815059</v>
      </c>
      <c r="I8" s="18">
        <f>I6*I7</f>
        <v>798573489.4158719</v>
      </c>
      <c r="J8" s="18">
        <f>J6*J7</f>
        <v>818429724.2326841</v>
      </c>
      <c r="K8" s="18">
        <f>K6*K7</f>
        <v>838890467.3385012</v>
      </c>
    </row>
    <row r="9" spans="1:11" x14ac:dyDescent="0.25">
      <c r="A9" t="s">
        <v>52</v>
      </c>
      <c r="B9" s="18">
        <f>B8*(1-Assumptions!B8)</f>
        <v>668435058.8418043</v>
      </c>
      <c r="C9" s="18">
        <f>C8*(1-Assumptions!B8)</f>
        <v>684422050.0601072</v>
      </c>
      <c r="D9" s="18">
        <f>D8*(1-Assumptions!B8)</f>
        <v>700884052.6689715</v>
      </c>
      <c r="E9" s="18">
        <f>E8*(1-Assumptions!B8)</f>
        <v>717836884.4401003</v>
      </c>
      <c r="F9" s="18">
        <f>F8*(1-Assumptions!B8)</f>
        <v>735296940.7893066</v>
      </c>
      <c r="G9" s="18">
        <f>G8*(1-Assumptions!B8)</f>
        <v>753281217.469804</v>
      </c>
      <c r="H9" s="18">
        <f>H8*(1-Assumptions!B8)</f>
        <v>771807334.2145901</v>
      </c>
      <c r="I9" s="18">
        <f>I8*(1-Assumptions!B8)</f>
        <v>790893559.3698254</v>
      </c>
      <c r="J9" s="18">
        <f>J8*(1-Assumptions!B8)</f>
        <v>810558835.5630517</v>
      </c>
      <c r="K9" s="18">
        <f>K8*(1-Assumptions!B8)</f>
        <v>830822806.452128</v>
      </c>
    </row>
    <row r="10" spans="1:11" x14ac:dyDescent="0.25">
      <c r="A10" t="s">
        <v>53</v>
      </c>
      <c r="B10" s="18">
        <f>B6*Assumptions!B9</f>
        <v>602652493.7928281</v>
      </c>
      <c r="C10" s="18">
        <f>C6*Assumptions!B9</f>
        <v>617066160.4587389</v>
      </c>
      <c r="D10" s="18">
        <f>D6*Assumptions!B9</f>
        <v>631908091.3147384</v>
      </c>
      <c r="E10" s="18">
        <f>E6*Assumptions!B9</f>
        <v>647192547.4613436</v>
      </c>
      <c r="F10" s="18">
        <f>F6*Assumptions!B9</f>
        <v>662934310.7956078</v>
      </c>
      <c r="G10" s="18">
        <f>G6*Assumptions!B9</f>
        <v>679148704.4711001</v>
      </c>
      <c r="H10" s="18">
        <f>H6*Assumptions!B9</f>
        <v>695851614.2135777</v>
      </c>
      <c r="I10" s="18">
        <f>I6*Assumptions!B9</f>
        <v>713059510.5301235</v>
      </c>
      <c r="J10" s="18">
        <f>J6*Assumptions!B9</f>
        <v>730789471.8512838</v>
      </c>
      <c r="K10" s="18">
        <f>K6*Assumptions!B9</f>
        <v>749059208.6475657</v>
      </c>
    </row>
    <row r="11" spans="1:11" x14ac:dyDescent="0.25">
      <c r="A11" t="s">
        <v>54</v>
      </c>
      <c r="B11" s="18">
        <f>-B6*B19</f>
        <v>-342799666.95337296</v>
      </c>
      <c r="C11" s="18">
        <f>-C6*C19</f>
        <v>-405492743.88050294</v>
      </c>
      <c r="D11" s="18">
        <f>-D6*D19</f>
        <v>-471050865.24702376</v>
      </c>
      <c r="E11" s="18">
        <f>-E6*E19</f>
        <v>-539599383.8525307</v>
      </c>
      <c r="F11" s="18">
        <f>-F6*F19</f>
        <v>-611269170.4083258</v>
      </c>
      <c r="G11" s="18">
        <f>-G6*G19</f>
        <v>-686196864.1725435</v>
      </c>
      <c r="H11" s="18">
        <f>-H6*H19</f>
        <v>-764525135.3665824</v>
      </c>
      <c r="I11" s="18">
        <f>-I6*I19</f>
        <v>-846402959.946656</v>
      </c>
      <c r="J11" s="18">
        <f>-J6*J19</f>
        <v>-931985907.3332036</v>
      </c>
      <c r="K11" s="18">
        <f>-K6*K19</f>
        <v>-1021436441.731331</v>
      </c>
    </row>
    <row r="12" spans="1:11" x14ac:dyDescent="0.25">
      <c r="A12" t="s">
        <v>55</v>
      </c>
      <c r="B12" s="18">
        <f>-(B6-Assumptions!B29)*Assumptions!B11</f>
        <v>-3440158.4456695854</v>
      </c>
      <c r="C12" s="18">
        <f>-(C6-B6)*Assumptions!B11</f>
        <v>-10128723.825756986</v>
      </c>
      <c r="D12" s="18">
        <f>-(D6-C6)*Assumptions!B11</f>
        <v>-10429672.210814912</v>
      </c>
      <c r="E12" s="18">
        <f>-(E6-D6)*Assumptions!B11</f>
        <v>-10740642.108922737</v>
      </c>
      <c r="F12" s="18">
        <f>-(F6-E6)*Assumptions!B11</f>
        <v>-11061999.492487364</v>
      </c>
      <c r="G12" s="18">
        <f>-(G6-F6)*Assumptions!B11</f>
        <v>-11394124.71148502</v>
      </c>
      <c r="H12" s="18">
        <f>-(H6-G6)*Assumptions!B11</f>
        <v>-11737413.094769208</v>
      </c>
      <c r="I12" s="18">
        <f>-(I6-H6)*Assumptions!B11</f>
        <v>-12092275.57792553</v>
      </c>
      <c r="J12" s="18">
        <f>-(J6-I6)*Assumptions!B11</f>
        <v>-12459139.358904874</v>
      </c>
      <c r="K12" s="18">
        <f>-(K6-J6)*Assumptions!B11</f>
        <v>-12838448.582723342</v>
      </c>
    </row>
    <row r="13" spans="1:11" x14ac:dyDescent="0.25">
      <c r="A13" s="19" t="s">
        <v>56</v>
      </c>
      <c r="B13" s="20">
        <f>B9+B10+B11+B12</f>
        <v>924847727.2355899</v>
      </c>
      <c r="C13" s="20">
        <f>C9+C10+C11+C12</f>
        <v>885866742.8125861</v>
      </c>
      <c r="D13" s="20">
        <f>D9+D10+D11+D12</f>
        <v>851311606.525871</v>
      </c>
      <c r="E13" s="20">
        <f>E9+E10+E11+E12</f>
        <v>814689405.9399905</v>
      </c>
      <c r="F13" s="20">
        <f>F9+F10+F11+F12</f>
        <v>775900081.6841013</v>
      </c>
      <c r="G13" s="20">
        <f>G9+G10+G11+G12</f>
        <v>734838933.0568756</v>
      </c>
      <c r="H13" s="20">
        <f>H9+H10+H11+H12</f>
        <v>691396399.9668162</v>
      </c>
      <c r="I13" s="20">
        <f>I9+I10+I11+I12</f>
        <v>645457834.3753673</v>
      </c>
      <c r="J13" s="20">
        <f>J9+J10+J11+J12</f>
        <v>596903260.7222271</v>
      </c>
      <c r="K13" s="20">
        <f>K9+K10+K11+K12</f>
        <v>545607124.7856394</v>
      </c>
    </row>
    <row r="14" spans="1:11" x14ac:dyDescent="0.25">
      <c r="A14" t="s">
        <v>57</v>
      </c>
      <c r="B14" s="21">
        <f>1/(1+Assumptions!$B$26)^(1-0.5*Assumptions!$B$32)</f>
        <v>0.9639224159565282</v>
      </c>
      <c r="C14" s="21">
        <f>1/(1+Assumptions!$B$26)^(2-0.5*Assumptions!$B$32)</f>
        <v>0.8956250657835151</v>
      </c>
      <c r="D14" s="21">
        <f>1/(1+Assumptions!$B$26)^(3-0.5*Assumptions!$B$32)</f>
        <v>0.8321668271027133</v>
      </c>
      <c r="E14" s="21">
        <f>1/(1+Assumptions!$B$26)^(4-0.5*Assumptions!$B$32)</f>
        <v>0.7732048315601565</v>
      </c>
      <c r="F14" s="21">
        <f>1/(1+Assumptions!$B$26)^(5-0.5*Assumptions!$B$32)</f>
        <v>0.7184205042508608</v>
      </c>
      <c r="G14" s="21">
        <f>1/(1+Assumptions!$B$26)^(6-0.5*Assumptions!$B$32)</f>
        <v>0.6675178424410886</v>
      </c>
      <c r="H14" s="21">
        <f>1/(1+Assumptions!$B$26)^(7-0.5*Assumptions!$B$32)</f>
        <v>0.6202218162492988</v>
      </c>
      <c r="I14" s="21">
        <f>1/(1+Assumptions!$B$26)^(8-0.5*Assumptions!$B$32)</f>
        <v>0.576276882644569</v>
      </c>
      <c r="J14" s="21">
        <f>1/(1+Assumptions!$B$26)^(9-0.5*Assumptions!$B$32)</f>
        <v>0.5354456047335431</v>
      </c>
      <c r="K14" s="21">
        <f>1/(1+Assumptions!$B$26)^(10-0.5*Assumptions!$B$32)</f>
        <v>0.49750736887583813</v>
      </c>
    </row>
    <row r="15" spans="1:11" x14ac:dyDescent="0.25">
      <c r="A15" s="19" t="s">
        <v>58</v>
      </c>
      <c r="B15" s="20">
        <f>B13*B14</f>
        <v>891481455.628834</v>
      </c>
      <c r="C15" s="20">
        <f>C13*C14</f>
        <v>793404459.8069507</v>
      </c>
      <c r="D15" s="20">
        <f>D13*D14</f>
        <v>708433278.4783477</v>
      </c>
      <c r="E15" s="20">
        <f>E13*E14</f>
        <v>629921784.8936744</v>
      </c>
      <c r="F15" s="20">
        <f>F13*F14</f>
        <v>557422527.9317762</v>
      </c>
      <c r="G15" s="20">
        <f>G13*G14</f>
        <v>490518099.13583714</v>
      </c>
      <c r="H15" s="20">
        <f>H13*H14</f>
        <v>428819130.9356454</v>
      </c>
      <c r="I15" s="20">
        <f>I13*I14</f>
        <v>371962428.6723512</v>
      </c>
      <c r="J15" s="20">
        <f>J13*J14</f>
        <v>319609227.4048366</v>
      </c>
      <c r="K15" s="20">
        <f>K13*K14</f>
        <v>271443565.09201455</v>
      </c>
    </row>
    <row r="17" spans="1:2" x14ac:dyDescent="0.25">
      <c r="A17" s="22" t="s">
        <v>59</v>
      </c>
      <c r="B17" s="23">
        <f>SUM(B15:K15)</f>
        <v>5463015957.980268</v>
      </c>
    </row>
    <row r="19" spans="1:11" x14ac:dyDescent="0.25">
      <c r="A19" t="s">
        <v>7</v>
      </c>
      <c r="B19" s="9">
        <f>Assumptions!$B$10+($B$20-Assumptions!$B$10)*0/9</f>
        <v>0.1539138150105155</v>
      </c>
      <c r="C19" s="9">
        <f>Assumptions!$B$10+($B$20-Assumptions!$B$10)*1/9</f>
        <v>0.17780973152688287</v>
      </c>
      <c r="D19" s="9">
        <f>Assumptions!$B$10+($B$20-Assumptions!$B$10)*2/9</f>
        <v>0.20170564804325025</v>
      </c>
      <c r="E19" s="9">
        <f>Assumptions!$B$10+($B$20-Assumptions!$B$10)*3/9</f>
        <v>0.2256015645596176</v>
      </c>
      <c r="F19" s="9">
        <f>Assumptions!$B$10+($B$20-Assumptions!$B$10)*4/9</f>
        <v>0.24949748107598502</v>
      </c>
      <c r="G19" s="9">
        <f>Assumptions!$B$10+($B$20-Assumptions!$B$10)*5/9</f>
        <v>0.27339339759235237</v>
      </c>
      <c r="H19" s="9">
        <f>Assumptions!$B$10+($B$20-Assumptions!$B$10)*6/9</f>
        <v>0.2972893141087197</v>
      </c>
      <c r="I19" s="9">
        <f>Assumptions!$B$10+($B$20-Assumptions!$B$10)*7/9</f>
        <v>0.32118523062508714</v>
      </c>
      <c r="J19" s="9">
        <f>Assumptions!$B$10+($B$20-Assumptions!$B$10)*8/9</f>
        <v>0.34508114714145455</v>
      </c>
      <c r="K19" s="9">
        <f>Assumptions!$B$10+($B$20-Assumptions!$B$10)*9/9</f>
        <v>0.3689770636578219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0.3689770636578219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545607124.7856394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830822806.452128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0.3278403420903921</v>
      </c>
    </row>
    <row r="7" spans="1:2" x14ac:dyDescent="0.25">
      <c r="A7" t="s">
        <v>66</v>
      </c>
      <c r="B7" s="18">
        <f>-MAX(B5,0)*B6</f>
        <v>-272377233.08376527</v>
      </c>
    </row>
    <row r="8" spans="1:2" x14ac:dyDescent="0.25">
      <c r="A8" t="s">
        <v>67</v>
      </c>
      <c r="B8" s="18">
        <f>IF(OR(Assumptions!$B$33=0,Assumptions!B12&lt;=0),B5,MAX(B5+B7,0))</f>
        <v>558445573.3683628</v>
      </c>
    </row>
    <row r="9" spans="1:2" x14ac:dyDescent="0.25">
      <c r="A9" t="s">
        <v>68</v>
      </c>
      <c r="B9" s="18">
        <f>B8*(1+Assumptions!B12)/(Assumptions!B26-Assumptions!B12)</f>
        <v>11167466556.434372</v>
      </c>
    </row>
    <row r="10" spans="1:2" x14ac:dyDescent="0.25">
      <c r="A10" t="s">
        <v>69</v>
      </c>
      <c r="B10" s="18">
        <f>B9/(1+Assumptions!B26)^(10-0.5*Assumptions!B32)</f>
        <v>5555896903.500581</v>
      </c>
    </row>
    <row r="11" spans="1:2" x14ac:dyDescent="0.25">
      <c r="A11" t="s">
        <v>70</v>
      </c>
      <c r="B11" s="18">
        <f>Forecast!B17+B10</f>
        <v>11018912861.480848</v>
      </c>
    </row>
    <row r="12" spans="1:2" x14ac:dyDescent="0.25">
      <c r="A12" t="s">
        <v>71</v>
      </c>
      <c r="B12" s="18">
        <f>-Assumptions!B30</f>
        <v>-5369393000</v>
      </c>
    </row>
    <row r="13" spans="1:2" x14ac:dyDescent="0.25">
      <c r="A13" t="s">
        <v>72</v>
      </c>
      <c r="B13" s="18">
        <f>B11+B12</f>
        <v>5649519861.480848</v>
      </c>
    </row>
    <row r="14" spans="1:2" x14ac:dyDescent="0.25">
      <c r="A14" s="19" t="s">
        <v>73</v>
      </c>
      <c r="B14" s="24">
        <f>B13/Assumptions!B31</f>
        <v>48.22527276488724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1587949675.9860668</v>
      </c>
    </row>
    <row r="18" spans="1:2" x14ac:dyDescent="0.25">
      <c r="A18" t="s">
        <v>68</v>
      </c>
      <c r="B18" s="18">
        <f>B17*Assumptions!B13</f>
        <v>24684577662.96811</v>
      </c>
    </row>
    <row r="19" spans="1:2" x14ac:dyDescent="0.25">
      <c r="A19" t="s">
        <v>69</v>
      </c>
      <c r="B19" s="18">
        <f>B18/(1+Assumptions!B26)^(10-0.5*Assumptions!B32)</f>
        <v>12280759284.914549</v>
      </c>
    </row>
    <row r="20" spans="1:2" x14ac:dyDescent="0.25">
      <c r="A20" t="s">
        <v>70</v>
      </c>
      <c r="B20" s="18">
        <f>Forecast!B17+B19</f>
        <v>17743775242.894817</v>
      </c>
    </row>
    <row r="21" spans="1:2" x14ac:dyDescent="0.25">
      <c r="A21" t="s">
        <v>71</v>
      </c>
      <c r="B21" s="18">
        <f>-Assumptions!B30</f>
        <v>-5369393000</v>
      </c>
    </row>
    <row r="22" spans="1:2" x14ac:dyDescent="0.25">
      <c r="A22" t="s">
        <v>72</v>
      </c>
      <c r="B22" s="18">
        <f>B20+B21</f>
        <v>12374382242.894817</v>
      </c>
    </row>
    <row r="23" spans="1:2" x14ac:dyDescent="0.25">
      <c r="A23" s="19" t="s">
        <v>73</v>
      </c>
      <c r="B23" s="25">
        <f>B22/Assumptions!B31</f>
        <v>105.62985414554466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117.21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48.22527276488724</v>
      </c>
    </row>
    <row r="29" spans="1:2" x14ac:dyDescent="0.25">
      <c r="A29" s="19" t="s">
        <v>81</v>
      </c>
      <c r="B29" s="11">
        <f>B28/B26-1</f>
        <v>-0.5885566695257466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0.056257</v>
      </c>
      <c r="B5" s="31">
        <v>83.81173530354104</v>
      </c>
      <c r="C5" s="31">
        <v>83.0630061104051</v>
      </c>
      <c r="D5" s="31">
        <v>82.57690391447142</v>
      </c>
      <c r="E5" s="31">
        <v>82.50346127688707</v>
      </c>
      <c r="F5" s="31">
        <v>83.13387137520468</v>
      </c>
    </row>
    <row r="6" spans="1:6" x14ac:dyDescent="0.25">
      <c r="A6" s="30">
        <v>0.066257</v>
      </c>
      <c r="B6" s="31">
        <v>63.82169154708197</v>
      </c>
      <c r="C6" s="31">
        <v>62.48906484488246</v>
      </c>
      <c r="D6" s="31">
        <v>61.15643814268293</v>
      </c>
      <c r="E6" s="31">
        <v>59.823811440483446</v>
      </c>
      <c r="F6" s="31">
        <v>58.49118473828393</v>
      </c>
    </row>
    <row r="7" spans="1:6" x14ac:dyDescent="0.25">
      <c r="A7" s="30">
        <v>0.076257</v>
      </c>
      <c r="B7" s="31">
        <v>50.4146879155867</v>
      </c>
      <c r="C7" s="31">
        <v>49.31977267418942</v>
      </c>
      <c r="D7" s="32">
        <v>48.22485743279215</v>
      </c>
      <c r="E7" s="31">
        <v>47.129942191394875</v>
      </c>
      <c r="F7" s="31">
        <v>46.03502694999758</v>
      </c>
    </row>
    <row r="8" spans="1:6" x14ac:dyDescent="0.25">
      <c r="A8" s="30">
        <v>0.086257</v>
      </c>
      <c r="B8" s="31">
        <v>40.08882847331496</v>
      </c>
      <c r="C8" s="31">
        <v>39.17268575725103</v>
      </c>
      <c r="D8" s="31">
        <v>38.25654304118707</v>
      </c>
      <c r="E8" s="31">
        <v>37.340400325123156</v>
      </c>
      <c r="F8" s="31">
        <v>36.42425760905921</v>
      </c>
    </row>
    <row r="9" spans="1:6" x14ac:dyDescent="0.25">
      <c r="A9" s="30">
        <v>0.096257</v>
      </c>
      <c r="B9" s="31">
        <v>31.885515591869325</v>
      </c>
      <c r="C9" s="31">
        <v>31.107850292339936</v>
      </c>
      <c r="D9" s="31">
        <v>30.330184992810548</v>
      </c>
      <c r="E9" s="31">
        <v>29.55251969328116</v>
      </c>
      <c r="F9" s="31">
        <v>28.774854393751767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2209126000</v>
      </c>
      <c r="C5" s="18">
        <v>2191015000</v>
      </c>
      <c r="D5" s="18">
        <v>2148468000</v>
      </c>
      <c r="E5" s="18">
        <v>2019866000</v>
      </c>
      <c r="F5" s="6" t="s">
        <v>91</v>
      </c>
    </row>
    <row r="6" spans="1:6" x14ac:dyDescent="0.25">
      <c r="A6" t="s">
        <v>51</v>
      </c>
      <c r="B6" s="18">
        <v>619438000</v>
      </c>
      <c r="C6" s="18">
        <v>656751000</v>
      </c>
      <c r="D6" s="18">
        <v>688902000</v>
      </c>
      <c r="E6" s="18">
        <v>628878000</v>
      </c>
      <c r="F6" s="6" t="s">
        <v>92</v>
      </c>
    </row>
    <row r="7" spans="1:6" x14ac:dyDescent="0.25">
      <c r="A7" t="s">
        <v>93</v>
      </c>
      <c r="B7" s="18">
        <v>622969000</v>
      </c>
      <c r="C7" s="18">
        <v>586402000</v>
      </c>
      <c r="D7" s="18">
        <v>565857000</v>
      </c>
      <c r="E7" s="18">
        <v>544004000</v>
      </c>
      <c r="F7" s="6" t="s">
        <v>94</v>
      </c>
    </row>
    <row r="8" spans="1:6" x14ac:dyDescent="0.25">
      <c r="A8" t="s">
        <v>95</v>
      </c>
      <c r="B8" s="18">
        <v>360238000</v>
      </c>
      <c r="C8" s="18">
        <v>322372000</v>
      </c>
      <c r="D8" s="18">
        <v>341224000</v>
      </c>
      <c r="E8" s="18">
        <v>296176000</v>
      </c>
      <c r="F8" s="6" t="s">
        <v>96</v>
      </c>
    </row>
    <row r="9" spans="1:6" x14ac:dyDescent="0.25">
      <c r="A9" t="s">
        <v>97</v>
      </c>
      <c r="B9" s="18">
        <v>-9253000</v>
      </c>
      <c r="C9" s="18">
        <v>34803000</v>
      </c>
      <c r="D9" s="18">
        <v>24453000</v>
      </c>
      <c r="E9" s="18">
        <v>16056000</v>
      </c>
      <c r="F9" s="6" t="s">
        <v>98</v>
      </c>
    </row>
    <row r="10" spans="1:6" x14ac:dyDescent="0.25">
      <c r="A10" t="s">
        <v>99</v>
      </c>
      <c r="B10" s="18">
        <v>5429651000</v>
      </c>
      <c r="C10" s="18">
        <v>5007048000</v>
      </c>
      <c r="D10" s="18">
        <v>4567569000</v>
      </c>
      <c r="E10" s="18">
        <v>4443574000</v>
      </c>
      <c r="F10" s="6" t="s">
        <v>100</v>
      </c>
    </row>
    <row r="11" spans="1:6" x14ac:dyDescent="0.25">
      <c r="A11" t="s">
        <v>101</v>
      </c>
      <c r="B11" s="18">
        <v>60258000</v>
      </c>
      <c r="C11" s="18">
        <v>43018000</v>
      </c>
      <c r="D11" s="18">
        <v>41314000</v>
      </c>
      <c r="E11" s="18">
        <v>38659000</v>
      </c>
      <c r="F11" s="6" t="s">
        <v>102</v>
      </c>
    </row>
    <row r="12" spans="1:6" x14ac:dyDescent="0.25">
      <c r="A12" t="s">
        <v>34</v>
      </c>
      <c r="B12" s="34">
        <v>117148531</v>
      </c>
      <c r="C12" s="34">
        <v>116775532</v>
      </c>
      <c r="D12" s="34">
        <v>116644533</v>
      </c>
      <c r="E12" s="34">
        <v>115582537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