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<sst xmlns="http://schemas.openxmlformats.org/spreadsheetml/2006/main" count="117" uniqueCount="103">
  <si>
    <t>Mapfre, S.A. (MAP.MC)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</si>
  <si>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</si>
  <si>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</si>
  <si>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</si>
  <si>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</si>
  <si>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</si>
  <si>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</si>
  <si>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</si>
  <si>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</si>
  <si>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</si>
  <si>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</si>
  <si>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</si>
  <si>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</si>
  <si>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</si>
  <si>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</si>
  <si>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</si>
  <si>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</si>
  <si>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</si>
  <si>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</si>
  <si>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</si>
  <si>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</si>
  <si>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</si>
  <si>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</si>
  <si>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</si>
  <si>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</si>
  <si>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</si>
  <si>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</si>
  <si>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</si>
  <si>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</si>
  <si>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</si>
  <si>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</si>
  <si>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</si>
  <si>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</si>
  <si>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</si>
  <si>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</si>
  <si>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</si>
  <si>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</si>
  <si>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</si>
  <si>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</si>
  <si>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</si>
  <si>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</si>
  <si>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</si>
  <si>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</si>
  <si>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</si>
  <si>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</si>
  <si>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</si>
  <si>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</si>
  <si>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</si>
  <si>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</si>
  <si>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</si>
  <si>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</si>
  <si>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</si>
  <si>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</si>
  <si>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</si>
  <si>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</si>
  <si>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</si>
  <si>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</si>
  <si>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</si>
  <si>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</si>
  <si>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</si>
  <si>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</si>
  <si>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</si>
  <si>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</si>
  <si>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</si>
  <si>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</si>
  <si>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</si>
  <si>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</si>
  <si>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</si>
  <si>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</si>
  <si>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</si>
  <si>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</si>
  <si>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</si>
  <si>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</si>
  <si>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</si>
  <si>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</si>
  <si>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</si>
  <si>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</si>
  <si>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</si>
  <si>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</si>
  <si>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</si>
  <si>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</si>
  <si>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</si>
  <si>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</si>
  <si>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</si>
  <si>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</si>
  <si>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</si>
  <si>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</si>
  <si>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</si>
  <si>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</si>
  <si>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</si>
  <si>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</si>
  <si>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</si>
  <si>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</si>
  <si>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</si>
  <si>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</si>
  <si>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</si>
  <si>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</si>
  <si>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</si>
  <si>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0.96%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</si>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</sst>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0.06740009243051781</v>
      </c>
    </row>
    <row r="7" spans="1:2" x14ac:dyDescent="0.25">
      <c r="A7" t="s">
        <v>5</v>
      </c>
      <c r="B7" s="6">
        <v>0.0749848582923136</v>
      </c>
    </row>
    <row r="8" spans="1:2" x14ac:dyDescent="0.25">
      <c r="A8" t="s">
        <v>6</v>
      </c>
      <c r="B8" s="6">
        <v>0.23870734878319683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0.0007559721802237678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0.12641136035088624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0.49683</v>
      </c>
      <c r="C19" s="8" t="s">
        <v>19</v>
      </c>
    </row>
    <row r="20" spans="1:2" x14ac:dyDescent="0.25">
      <c r="A20" t="s">
        <v>20</v>
      </c>
      <c r="B20" s="10">
        <f>B17+B19*B18</f>
        <v>0.07429395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13517287424</v>
      </c>
    </row>
    <row r="23" spans="1:2" x14ac:dyDescent="0.25">
      <c r="A23" t="s">
        <v>24</v>
      </c>
      <c r="B23" s="11">
        <v>2980000000</v>
      </c>
    </row>
    <row r="24" spans="1:2" x14ac:dyDescent="0.25">
      <c r="A24" t="s">
        <v>25</v>
      </c>
      <c r="B24" s="10">
        <f>B22/(B22+B23)</f>
        <v>0.8193642431382543</v>
      </c>
    </row>
    <row r="25" spans="1:2" x14ac:dyDescent="0.25">
      <c r="A25" t="s">
        <v>26</v>
      </c>
      <c r="B25" s="10">
        <f>1-B24</f>
        <v>0.1806357568617457</v>
      </c>
    </row>
    <row r="26" spans="1:2" x14ac:dyDescent="0.25">
      <c r="A26" t="s">
        <v>27</v>
      </c>
      <c r="B26" s="12">
        <f>B24*B20+B25*B21*(1-B8)</f>
        <v>0.0693998399147429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26355100000</v>
      </c>
      <c r="C29" s="8" t="s">
        <v>30</v>
      </c>
    </row>
    <row r="30" spans="1:2" x14ac:dyDescent="0.25">
      <c r="A30" t="s">
        <v>31</v>
      </c>
      <c r="B30" s="11">
        <v>-22264800000</v>
      </c>
    </row>
    <row r="31" spans="1:2" x14ac:dyDescent="0.25">
      <c r="A31" t="s">
        <v>32</v>
      </c>
      <c r="B31" s="13">
        <v>3063900000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0.06740009243051781</v>
      </c>
      <c r="C5" s="10">
        <f>Assumptions!B6</f>
        <v>0.06740009243051781</v>
      </c>
      <c r="D5" s="10">
        <f>Assumptions!B6</f>
        <v>0.06740009243051781</v>
      </c>
      <c r="E5" s="10">
        <f>Assumptions!B6</f>
        <v>0.06740009243051781</v>
      </c>
      <c r="F5" s="10">
        <f>Assumptions!B6</f>
        <v>0.06740009243051781</v>
      </c>
    </row>
    <row r="6" spans="1:6" x14ac:dyDescent="0.25">
      <c r="A6" t="s">
        <v>43</v>
      </c>
      <c r="B6" s="18">
        <f>Assumptions!B29*(1+B5)</f>
        <v>28131436176.01554</v>
      </c>
      <c r="C6" s="18">
        <f>B6*(1+C5)</f>
        <v>30027497574.4822</v>
      </c>
      <c r="D6" s="18">
        <f>C6*(1+D5)</f>
        <v>32051353686.45945</v>
      </c>
      <c r="E6" s="18">
        <f>D6*(1+E5)</f>
        <v>34211617887.450035</v>
      </c>
      <c r="F6" s="18">
        <f>E6*(1+F5)</f>
        <v>36517484095.26173</v>
      </c>
    </row>
    <row r="7" spans="1:6" x14ac:dyDescent="0.25">
      <c r="A7" t="s">
        <v>5</v>
      </c>
      <c r="B7" s="10">
        <f>Assumptions!B7</f>
        <v>0.0749848582923136</v>
      </c>
      <c r="C7" s="10">
        <f>Assumptions!B7</f>
        <v>0.0749848582923136</v>
      </c>
      <c r="D7" s="10">
        <f>Assumptions!B7</f>
        <v>0.0749848582923136</v>
      </c>
      <c r="E7" s="10">
        <f>Assumptions!B7</f>
        <v>0.0749848582923136</v>
      </c>
      <c r="F7" s="10">
        <f>Assumptions!B7</f>
        <v>0.0749848582923136</v>
      </c>
    </row>
    <row r="8" spans="1:6" x14ac:dyDescent="0.25">
      <c r="A8" t="s">
        <v>44</v>
      </c>
      <c r="B8" s="18">
        <f>B6*B7</f>
        <v>2109431755.21779</v>
      </c>
      <c r="C8" s="18">
        <f>C6*C7</f>
        <v>2251607650.4953384</v>
      </c>
      <c r="D8" s="18">
        <f>D6*D7</f>
        <v>2403366214.2559853</v>
      </c>
      <c r="E8" s="18">
        <f>E6*E7</f>
        <v>2565353319.2412224</v>
      </c>
      <c r="F8" s="18">
        <f>F6*F7</f>
        <v>2738258370.0750165</v>
      </c>
    </row>
    <row r="9" spans="1:6" x14ac:dyDescent="0.25">
      <c r="A9" t="s">
        <v>45</v>
      </c>
      <c r="B9" s="18">
        <f>B8*(1-Assumptions!B8)</f>
        <v>1605894893.490666</v>
      </c>
      <c r="C9" s="18">
        <f>C8*(1-Assumptions!B8)</f>
        <v>1714132357.7456334</v>
      </c>
      <c r="D9" s="18">
        <f>D8*(1-Assumptions!B8)</f>
        <v>1829665037.0958307</v>
      </c>
      <c r="E9" s="18">
        <f>E8*(1-Assumptions!B8)</f>
        <v>1952984629.7129765</v>
      </c>
      <c r="F9" s="18">
        <f>F8*(1-Assumptions!B8)</f>
        <v>2084615974.2710116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-281314361.76015544</v>
      </c>
      <c r="C11" s="18">
        <f>-C6*Assumptions!B10</f>
        <v>-300274975.744822</v>
      </c>
      <c r="D11" s="18">
        <f>-D6*Assumptions!B10</f>
        <v>-320513536.8645945</v>
      </c>
      <c r="E11" s="18">
        <f>-E6*Assumptions!B10</f>
        <v>-342116178.87450033</v>
      </c>
      <c r="F11" s="18">
        <f>-F6*Assumptions!B10</f>
        <v>-365174840.9526173</v>
      </c>
    </row>
    <row r="12" spans="1:6" x14ac:dyDescent="0.25">
      <c r="A12" t="s">
        <v>48</v>
      </c>
      <c r="B12" s="18">
        <f>-(B6-Assumptions!B29)*Assumptions!B11</f>
        <v>-1342860.7317928192</v>
      </c>
      <c r="C12" s="18">
        <f>-(C6-B6)*Assumptions!B11</f>
        <v>-1433369.6692369669</v>
      </c>
      <c r="D12" s="18">
        <f>-(D6-C6)*Assumptions!B11</f>
        <v>-1529978.917430639</v>
      </c>
      <c r="E12" s="18">
        <f>-(E6-D6)*Assumptions!B11</f>
        <v>-1633099.6378822085</v>
      </c>
      <c r="F12" s="18">
        <f>-(F6-E6)*Assumptions!B11</f>
        <v>-1743170.7044237158</v>
      </c>
    </row>
    <row r="13" spans="1:6" x14ac:dyDescent="0.25">
      <c r="A13" s="19" t="s">
        <v>49</v>
      </c>
      <c r="B13" s="20">
        <f>B9+B10+B11+B12</f>
        <v>1323237670.9987175</v>
      </c>
      <c r="C13" s="20">
        <f>C9+C10+C11+C12</f>
        <v>1412424012.3315744</v>
      </c>
      <c r="D13" s="20">
        <f>D9+D10+D11+D12</f>
        <v>1507621521.3138056</v>
      </c>
      <c r="E13" s="20">
        <f>E9+E10+E11+E12</f>
        <v>1609235351.200594</v>
      </c>
      <c r="F13" s="20">
        <f>F9+F10+F11+F12</f>
        <v>1717697962.6139705</v>
      </c>
    </row>
    <row r="14" spans="1:6" x14ac:dyDescent="0.25">
      <c r="A14" t="s">
        <v>50</v>
      </c>
      <c r="B14" s="21">
        <f>1/(1+Assumptions!$B$26)^(1-0.5*Assumptions!$B$32)</f>
        <v>0.9670077230834523</v>
      </c>
      <c r="C14" s="21">
        <f>1/(1+Assumptions!$B$26)^(2-0.5*Assumptions!$B$32)</f>
        <v>0.9042527284841807</v>
      </c>
      <c r="D14" s="21">
        <f>1/(1+Assumptions!$B$26)^(3-0.5*Assumptions!$B$32)</f>
        <v>0.8455702859991748</v>
      </c>
      <c r="E14" s="21">
        <f>1/(1+Assumptions!$B$26)^(4-0.5*Assumptions!$B$32)</f>
        <v>0.7906961030278322</v>
      </c>
      <c r="F14" s="21">
        <f>1/(1+Assumptions!$B$26)^(5-0.5*Assumptions!$B$32)</f>
        <v>0.7393830385189415</v>
      </c>
    </row>
    <row r="15" spans="1:6" x14ac:dyDescent="0.25">
      <c r="A15" s="19" t="s">
        <v>51</v>
      </c>
      <c r="B15" s="20">
        <f>B13*B14</f>
        <v>1279581047.3307202</v>
      </c>
      <c r="C15" s="20">
        <f>C13*C14</f>
        <v>1277188266.9274004</v>
      </c>
      <c r="D15" s="20">
        <f>D13*D14</f>
        <v>1274799960.9558256</v>
      </c>
      <c r="E15" s="20">
        <f>E13*E14</f>
        <v>1272416121.0489347</v>
      </c>
      <c r="F15" s="20">
        <f>F13*F14</f>
        <v>1270036738.8553126</v>
      </c>
    </row>
    <row r="17" spans="1:2" x14ac:dyDescent="0.25">
      <c r="A17" s="22" t="s">
        <v>52</v>
      </c>
      <c r="B17" s="23">
        <f>SUM(B15:F15)</f>
        <v>6374022135.118194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1717697962.6139705</v>
      </c>
    </row>
    <row r="5" spans="1:2" x14ac:dyDescent="0.25">
      <c r="A5" t="s">
        <v>56</v>
      </c>
      <c r="B5" s="18">
        <f>IF(Assumptions!$B$33=0,B4,B4-Forecast!F11-Forecast!F10-Forecast!F12)</f>
        <v>2084615974.2710116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0.19776703557818118</v>
      </c>
    </row>
    <row r="7" spans="1:2" x14ac:dyDescent="0.25">
      <c r="A7" t="s">
        <v>58</v>
      </c>
      <c r="B7" s="18">
        <f>-MAX(Forecast!F9,0)*B6</f>
        <v>-412268321.5505</v>
      </c>
    </row>
    <row r="8" spans="1:2" x14ac:dyDescent="0.25">
      <c r="A8" t="s">
        <v>59</v>
      </c>
      <c r="B8" s="18">
        <f>IF(OR(Assumptions!$B$33=0,Assumptions!B12&lt;=0),B5,MAX(B5+B7,0))</f>
        <v>1672347652.7205117</v>
      </c>
    </row>
    <row r="9" spans="1:2" x14ac:dyDescent="0.25">
      <c r="A9" t="s">
        <v>60</v>
      </c>
      <c r="B9" s="18">
        <f>B8*(1+Assumptions!B12)/(Assumptions!B26-Assumptions!B12)</f>
        <v>38607264065.1423</v>
      </c>
    </row>
    <row r="10" spans="1:2" x14ac:dyDescent="0.25">
      <c r="A10" t="s">
        <v>61</v>
      </c>
      <c r="B10" s="18">
        <f>B9/(1+Assumptions!B26)^(5-0.5*Assumptions!B32)</f>
        <v>28545556213.388058</v>
      </c>
    </row>
    <row r="11" spans="1:2" x14ac:dyDescent="0.25">
      <c r="A11" t="s">
        <v>62</v>
      </c>
      <c r="B11" s="18">
        <f>Forecast!B17+B10</f>
        <v>34919578348.50625</v>
      </c>
    </row>
    <row r="12" spans="1:2" x14ac:dyDescent="0.25">
      <c r="A12" t="s">
        <v>63</v>
      </c>
      <c r="B12" s="18">
        <f>-Assumptions!B30</f>
        <v>22264800000</v>
      </c>
    </row>
    <row r="13" spans="1:2" x14ac:dyDescent="0.25">
      <c r="A13" t="s">
        <v>64</v>
      </c>
      <c r="B13" s="18">
        <f>B11+B12</f>
        <v>57184378348.50625</v>
      </c>
    </row>
    <row r="14" spans="1:2" x14ac:dyDescent="0.25">
      <c r="A14" s="19" t="s">
        <v>65</v>
      </c>
      <c r="B14" s="24">
        <f>B13/Assumptions!B31</f>
        <v>18.663917996183375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2738258370.0750165</v>
      </c>
    </row>
    <row r="18" spans="1:2" x14ac:dyDescent="0.25">
      <c r="A18" t="s">
        <v>60</v>
      </c>
      <c r="B18" s="18">
        <f>B17*Assumptions!B13</f>
        <v>21906066960.600132</v>
      </c>
    </row>
    <row r="19" spans="1:2" x14ac:dyDescent="0.25">
      <c r="A19" t="s">
        <v>61</v>
      </c>
      <c r="B19" s="18">
        <f>B18/(1+Assumptions!B26)^(5-0.5*Assumptions!B32)</f>
        <v>16196974351.327919</v>
      </c>
    </row>
    <row r="20" spans="1:2" x14ac:dyDescent="0.25">
      <c r="A20" t="s">
        <v>62</v>
      </c>
      <c r="B20" s="18">
        <f>Forecast!B17+B19</f>
        <v>22570996486.446114</v>
      </c>
    </row>
    <row r="21" spans="1:2" x14ac:dyDescent="0.25">
      <c r="A21" t="s">
        <v>63</v>
      </c>
      <c r="B21" s="18">
        <f>-Assumptions!B30</f>
        <v>22264800000</v>
      </c>
    </row>
    <row r="22" spans="1:2" x14ac:dyDescent="0.25">
      <c r="A22" t="s">
        <v>64</v>
      </c>
      <c r="B22" s="18">
        <f>B20+B21</f>
        <v>44835796486.44611</v>
      </c>
    </row>
    <row r="23" spans="1:2" x14ac:dyDescent="0.25">
      <c r="A23" s="19" t="s">
        <v>65</v>
      </c>
      <c r="B23" s="25">
        <f>B22/Assumptions!B31</f>
        <v>14.633570445003464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4.404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18.663917996183375</v>
      </c>
    </row>
    <row r="29" spans="1:2" x14ac:dyDescent="0.25">
      <c r="A29" s="19" t="s">
        <v>73</v>
      </c>
      <c r="B29" s="12">
        <f>B28/B26-1</f>
        <v>3.2379468656183867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0.0494</v>
      </c>
      <c r="B5" s="31">
        <v>23.69023602386689</v>
      </c>
      <c r="C5" s="31">
        <v>25.442872692357803</v>
      </c>
      <c r="D5" s="31">
        <v>27.904925166616813</v>
      </c>
      <c r="E5" s="31">
        <v>31.62491082223784</v>
      </c>
      <c r="F5" s="31">
        <v>37.91317672313964</v>
      </c>
    </row>
    <row r="6" spans="1:6" x14ac:dyDescent="0.25">
      <c r="A6" s="30">
        <v>0.0594</v>
      </c>
      <c r="B6" s="31">
        <v>19.96997172278119</v>
      </c>
      <c r="C6" s="31">
        <v>20.833082930155683</v>
      </c>
      <c r="D6" s="31">
        <v>21.94106453372701</v>
      </c>
      <c r="E6" s="31">
        <v>23.41885040910578</v>
      </c>
      <c r="F6" s="31">
        <v>25.493779247976924</v>
      </c>
    </row>
    <row r="7" spans="1:6" x14ac:dyDescent="0.25">
      <c r="A7" s="30">
        <v>0.0694</v>
      </c>
      <c r="B7" s="31">
        <v>17.61957177296247</v>
      </c>
      <c r="C7" s="31">
        <v>18.090889034488246</v>
      </c>
      <c r="D7" s="32">
        <v>18.66387735102591</v>
      </c>
      <c r="E7" s="31">
        <v>19.377243977021614</v>
      </c>
      <c r="F7" s="31">
        <v>20.29220038462277</v>
      </c>
    </row>
    <row r="8" spans="1:6" x14ac:dyDescent="0.25">
      <c r="A8" s="30">
        <v>0.0794</v>
      </c>
      <c r="B8" s="31">
        <v>16.00080063424871</v>
      </c>
      <c r="C8" s="31">
        <v>16.273002787720515</v>
      </c>
      <c r="D8" s="31">
        <v>16.59173445692129</v>
      </c>
      <c r="E8" s="31">
        <v>16.9711240373153</v>
      </c>
      <c r="F8" s="31">
        <v>17.43166406646783</v>
      </c>
    </row>
    <row r="9" spans="1:6" x14ac:dyDescent="0.25">
      <c r="A9" s="30">
        <v>0.0894</v>
      </c>
      <c r="B9" s="31">
        <v>14.81856563951987</v>
      </c>
      <c r="C9" s="31">
        <v>14.979820947512682</v>
      </c>
      <c r="D9" s="31">
        <v>15.163273361221357</v>
      </c>
      <c r="E9" s="31">
        <v>15.374528210372125</v>
      </c>
      <c r="F9" s="31">
        <v>15.621251607678804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26355100000</v>
      </c>
      <c r="C5" s="18">
        <v>25833400000</v>
      </c>
      <c r="D5" s="18">
        <v>25639600000</v>
      </c>
      <c r="E5" s="18">
        <v>21671200000</v>
      </c>
      <c r="F5" s="8" t="s">
        <v>84</v>
      </c>
    </row>
    <row r="6" spans="1:6" x14ac:dyDescent="0.25">
      <c r="A6" t="s">
        <v>44</v>
      </c>
      <c r="B6" s="18">
        <v>2524800000</v>
      </c>
      <c r="C6" s="18">
        <v>2099800000</v>
      </c>
      <c r="D6" s="18">
        <v>1647700000</v>
      </c>
      <c r="E6" s="18">
        <v>1269800000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85</v>
      </c>
    </row>
    <row r="8" spans="1:6" x14ac:dyDescent="0.25">
      <c r="A8" t="s">
        <v>87</v>
      </c>
      <c r="B8" s="18">
        <v>217000000</v>
      </c>
      <c r="C8" s="18">
        <v>287400000</v>
      </c>
      <c r="D8" s="18">
        <v>217900000</v>
      </c>
      <c r="E8" s="18">
        <v>229500000</v>
      </c>
      <c r="F8" s="8" t="s">
        <v>88</v>
      </c>
    </row>
    <row r="9" spans="1:6" x14ac:dyDescent="0.25">
      <c r="A9" t="s">
        <v>89</v>
      </c>
      <c r="B9" s="18">
        <v>-9100000</v>
      </c>
      <c r="C9" s="18">
        <v>6800000</v>
      </c>
      <c r="D9" s="18">
        <v>3000000</v>
      </c>
      <c r="E9" s="18">
        <v>143500000</v>
      </c>
      <c r="F9" s="8" t="s">
        <v>85</v>
      </c>
    </row>
    <row r="10" spans="1:6" x14ac:dyDescent="0.25">
      <c r="A10" t="s">
        <v>90</v>
      </c>
      <c r="B10" s="18">
        <v>2980000000</v>
      </c>
      <c r="C10" s="18">
        <v>2672800000</v>
      </c>
      <c r="D10" s="18">
        <v>3052400000</v>
      </c>
      <c r="E10" s="18">
        <v>3251800000</v>
      </c>
      <c r="F10" s="8" t="s">
        <v>91</v>
      </c>
    </row>
    <row r="11" spans="1:6" x14ac:dyDescent="0.25">
      <c r="A11" t="s">
        <v>92</v>
      </c>
      <c r="B11" s="18">
        <v>25244800000</v>
      </c>
      <c r="C11" s="18">
        <v>24926200000</v>
      </c>
      <c r="D11" s="18">
        <v>23767900000</v>
      </c>
      <c r="E11" s="18">
        <v>22877800000</v>
      </c>
      <c r="F11" s="8" t="s">
        <v>93</v>
      </c>
    </row>
    <row r="12" spans="1:6" x14ac:dyDescent="0.25">
      <c r="A12" t="s">
        <v>32</v>
      </c>
      <c r="B12" s="34">
        <v>3063900000</v>
      </c>
      <c r="C12" s="34">
        <v>3067400000</v>
      </c>
      <c r="D12" s="34">
        <v>3064200000</v>
      </c>
      <c r="E12" s="34">
        <v>3054600000</v>
      </c>
      <c r="F12" s="8" t="s">
        <v>94</v>
      </c>
    </row>
    <row r="15" spans="1:1" x14ac:dyDescent="0.25">
      <c r="A15" s="19" t="s">
        <v>95</v>
      </c>
    </row>
    <row r="16" ht="54" customHeight="1" spans="1:6" x14ac:dyDescent="0.25">
      <c r="A16" s="35" t="s">
        <v>96</v>
      </c>
      <c r="B16" s="35"/>
      <c r="C16" s="35"/>
      <c r="D16" s="35"/>
      <c r="E16" s="35"/>
      <c r="F16" s="35"/>
    </row>
    <row r="17" ht="22" customHeight="1" spans="1:6" x14ac:dyDescent="0.25">
      <c r="A17" s="35" t="s">
        <v>97</v>
      </c>
      <c r="B17" s="35"/>
      <c r="C17" s="35"/>
      <c r="D17" s="35"/>
      <c r="E17" s="35"/>
      <c r="F17" s="35"/>
    </row>
    <row r="18" ht="86" customHeight="1" spans="1:6" x14ac:dyDescent="0.25">
      <c r="A18" s="35" t="s">
        <v>98</v>
      </c>
      <c r="B18" s="35"/>
      <c r="C18" s="35"/>
      <c r="D18" s="35"/>
      <c r="E18" s="35"/>
      <c r="F18" s="35"/>
    </row>
    <row r="19" ht="54" customHeight="1" spans="1:6" x14ac:dyDescent="0.25">
      <c r="A19" s="35" t="s">
        <v>99</v>
      </c>
      <c r="B19" s="35"/>
      <c r="C19" s="35"/>
      <c r="D19" s="35"/>
      <c r="E19" s="35"/>
      <c r="F19" s="35"/>
    </row>
    <row r="20" ht="22" customHeight="1" spans="1:6" x14ac:dyDescent="0.25">
      <c r="A20" s="35" t="s">
        <v>100</v>
      </c>
      <c r="B20" s="35"/>
      <c r="C20" s="35"/>
      <c r="D20" s="35"/>
      <c r="E20" s="35"/>
      <c r="F20" s="35"/>
    </row>
    <row r="21" ht="22" customHeight="1" spans="1:6" x14ac:dyDescent="0.25">
      <c r="A21" s="35" t="s">
        <v>101</v>
      </c>
      <c r="B21" s="35"/>
      <c r="C21" s="35"/>
      <c r="D21" s="35"/>
      <c r="E21" s="35"/>
      <c r="F21" s="35"/>
    </row>
    <row r="23" spans="1:1" x14ac:dyDescent="0.25">
      <c r="A23" s="36" t="s">
        <v>102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2026-09-19T00:08:11Z</dcterms:modified>
</cp:coreProperties>
</file>