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<sst xmlns="http://schemas.openxmlformats.org/spreadsheetml/2006/main" count="112" uniqueCount="100">
  <si>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Marriott International, Inc. (MAR)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</si>
  <si>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</si>
  <si>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</si>
  <si>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</si>
  <si>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</si>
  <si>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</si>
  <si>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</si>
  <si>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</si>
  <si>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</si>
  <si>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</si>
  <si>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</si>
  <si>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</si>
  <si>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</si>
  <si>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</si>
  <si>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</si>
  <si>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</si>
  <si>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</si>
  <si>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</si>
  <si>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</si>
  <si>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</si>
  <si>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</si>
  <si>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</si>
  <si>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</si>
  <si>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</si>
  <si>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</si>
  <si>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</si>
  <si>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</si>
  <si>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</si>
  <si>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</si>
  <si>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</si>
  <si>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</si>
  <si>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</si>
  <si>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</si>
  <si>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</si>
  <si>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</si>
  <si>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</si>
  <si>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</si>
  <si>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</si>
  <si>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</si>
  <si>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</si>
  <si>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</si>
  <si>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</si>
  <si>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</si>
  <si>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</si>
  <si>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</si>
  <si>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</si>
  <si>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</si>
  <si>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</si>
  <si>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</si>
  <si>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</si>
  <si>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</si>
  <si>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</si>
  <si>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</si>
  <si>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</si>
  <si>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</si>
  <si>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</si>
  <si>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</si>
  <si>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</si>
  <si>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</si>
  <si>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</si>
  <si>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</si>
  <si>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</si>
  <si>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</si>
  <si>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</si>
  <si>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</si>
  <si>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</si>
  <si>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</si>
  <si>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</si>
  <si>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</si>
  <si>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</si>
  <si>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</si>
  <si>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</si>
  <si>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</si>
  <si>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</si>
  <si>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</si>
  <si>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</si>
  <si>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</si>
  <si>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</si>
  <si>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</si>
  <si>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</si>
  <si>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</si>
  <si>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</si>
  <si>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</si>
  <si>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</si>
  <si>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</si>
  <si>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</si>
  <si>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</si>
  <si>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</si>
  <si>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</si>
  <si>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</si>
  <si>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</si>
  <si>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</si>
  <si>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</si>
  <si>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</si>
  <si>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</si>
  <si>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</si>
  <si>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</si>
  <si>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</si>
  <si>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Current EV/EBITDA of 22.2x sits outside a defensible 3-20x band, so the exit multiple is capped at 20.0x. A multiple that far out usually means EBITDA is the wrong denominator for this business.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</si>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</sst>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0.0802476100443279</v>
      </c>
    </row>
    <row r="7" spans="1:2" x14ac:dyDescent="0.25">
      <c r="A7" t="s">
        <v>5</v>
      </c>
      <c r="B7" s="6">
        <v>0.1609810344014516</v>
      </c>
    </row>
    <row r="8" spans="1:2" x14ac:dyDescent="0.25">
      <c r="A8" t="s">
        <v>6</v>
      </c>
      <c r="B8" s="6">
        <v>0.21</v>
      </c>
    </row>
    <row r="9" spans="1:2" x14ac:dyDescent="0.25">
      <c r="A9" t="s">
        <v>7</v>
      </c>
      <c r="B9" s="6">
        <v>0.020029678988659892</v>
      </c>
    </row>
    <row r="10" spans="1:2" x14ac:dyDescent="0.25">
      <c r="A10" t="s">
        <v>8</v>
      </c>
      <c r="B10" s="6">
        <v>0.021997449380130357</v>
      </c>
    </row>
    <row r="11" spans="1:2" x14ac:dyDescent="0.25">
      <c r="A11" t="s">
        <v>9</v>
      </c>
      <c r="B11" s="6">
        <v>0.05912040374909877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6">
        <v>0.26404894926461003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1.06968</v>
      </c>
      <c r="C19" s="8" t="s">
        <v>19</v>
      </c>
    </row>
    <row r="20" spans="1:2" x14ac:dyDescent="0.25">
      <c r="A20" t="s">
        <v>20</v>
      </c>
      <c r="B20" s="10">
        <f>B17+B19*B18</f>
        <v>0.1088124</v>
      </c>
    </row>
    <row r="21" spans="1:3" x14ac:dyDescent="0.25">
      <c r="A21" t="s">
        <v>21</v>
      </c>
      <c r="B21" s="6">
        <v>0.05005568617745328</v>
      </c>
      <c r="C21" s="8" t="s">
        <v>22</v>
      </c>
    </row>
    <row r="22" spans="1:2" x14ac:dyDescent="0.25">
      <c r="A22" t="s">
        <v>23</v>
      </c>
      <c r="B22" s="11">
        <v>88378916864</v>
      </c>
    </row>
    <row r="23" spans="1:2" x14ac:dyDescent="0.25">
      <c r="A23" t="s">
        <v>24</v>
      </c>
      <c r="B23" s="11">
        <v>17083000000</v>
      </c>
    </row>
    <row r="24" spans="1:2" x14ac:dyDescent="0.25">
      <c r="A24" t="s">
        <v>25</v>
      </c>
      <c r="B24" s="10">
        <f>B22/(B22+B23)</f>
        <v>0.8380173572795037</v>
      </c>
    </row>
    <row r="25" spans="1:2" x14ac:dyDescent="0.25">
      <c r="A25" t="s">
        <v>26</v>
      </c>
      <c r="B25" s="10">
        <f>1-B24</f>
        <v>0.16198264272049634</v>
      </c>
    </row>
    <row r="26" spans="1:2" x14ac:dyDescent="0.25">
      <c r="A26" t="s">
        <v>27</v>
      </c>
      <c r="B26" s="12">
        <f>B24*B20+B25*B21*(1-B8)</f>
        <v>0.09759212022810752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26186000000</v>
      </c>
      <c r="C29" s="8" t="s">
        <v>30</v>
      </c>
    </row>
    <row r="30" spans="1:2" x14ac:dyDescent="0.25">
      <c r="A30" t="s">
        <v>31</v>
      </c>
      <c r="B30" s="11">
        <v>16725000000</v>
      </c>
    </row>
    <row r="31" spans="1:2" x14ac:dyDescent="0.25">
      <c r="A31" t="s">
        <v>32</v>
      </c>
      <c r="B31" s="13">
        <v>273600000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0.0802476100443279</v>
      </c>
      <c r="C5" s="10">
        <f>Assumptions!B6</f>
        <v>0.0802476100443279</v>
      </c>
      <c r="D5" s="10">
        <f>Assumptions!B6</f>
        <v>0.0802476100443279</v>
      </c>
      <c r="E5" s="10">
        <f>Assumptions!B6</f>
        <v>0.0802476100443279</v>
      </c>
      <c r="F5" s="10">
        <f>Assumptions!B6</f>
        <v>0.0802476100443279</v>
      </c>
    </row>
    <row r="6" spans="1:6" x14ac:dyDescent="0.25">
      <c r="A6" t="s">
        <v>43</v>
      </c>
      <c r="B6" s="18">
        <f>Assumptions!B29*(1+B5)</f>
        <v>28287363916.62077</v>
      </c>
      <c r="C6" s="18">
        <f>B6*(1+C5)</f>
        <v>30557357265.383743</v>
      </c>
      <c r="D6" s="18">
        <f>C6*(1+D5)</f>
        <v>33009512155.20147</v>
      </c>
      <c r="E6" s="18">
        <f>D6*(1+E5)</f>
        <v>35658446614.38558</v>
      </c>
      <c r="F6" s="18">
        <f>E6*(1+F5)</f>
        <v>38519951733.08328</v>
      </c>
    </row>
    <row r="7" spans="1:6" x14ac:dyDescent="0.25">
      <c r="A7" t="s">
        <v>5</v>
      </c>
      <c r="B7" s="10">
        <f>Assumptions!B7</f>
        <v>0.1609810344014516</v>
      </c>
      <c r="C7" s="10">
        <f>Assumptions!B7</f>
        <v>0.1609810344014516</v>
      </c>
      <c r="D7" s="10">
        <f>Assumptions!B7</f>
        <v>0.1609810344014516</v>
      </c>
      <c r="E7" s="10">
        <f>Assumptions!B7</f>
        <v>0.1609810344014516</v>
      </c>
      <c r="F7" s="10">
        <f>Assumptions!B7</f>
        <v>0.1609810344014516</v>
      </c>
    </row>
    <row r="8" spans="1:6" x14ac:dyDescent="0.25">
      <c r="A8" t="s">
        <v>44</v>
      </c>
      <c r="B8" s="18">
        <f>B6*B7</f>
        <v>4553729103.787909</v>
      </c>
      <c r="C8" s="18">
        <f>C6*C7</f>
        <v>4919154981.156187</v>
      </c>
      <c r="D8" s="18">
        <f>D6*D7</f>
        <v>5313905411.831622</v>
      </c>
      <c r="E8" s="18">
        <f>E6*E7</f>
        <v>5740333621.1327305</v>
      </c>
      <c r="F8" s="18">
        <f>F6*F7</f>
        <v>6200981675.085734</v>
      </c>
    </row>
    <row r="9" spans="1:6" x14ac:dyDescent="0.25">
      <c r="A9" t="s">
        <v>45</v>
      </c>
      <c r="B9" s="18">
        <f>B8*(1-Assumptions!B8)</f>
        <v>3597445991.992448</v>
      </c>
      <c r="C9" s="18">
        <f>C8*(1-Assumptions!B8)</f>
        <v>3886132435.113388</v>
      </c>
      <c r="D9" s="18">
        <f>D8*(1-Assumptions!B8)</f>
        <v>4197985275.3469815</v>
      </c>
      <c r="E9" s="18">
        <f>E8*(1-Assumptions!B8)</f>
        <v>4534863560.694858</v>
      </c>
      <c r="F9" s="18">
        <f>F8*(1-Assumptions!B8)</f>
        <v>4898775523.31773</v>
      </c>
    </row>
    <row r="10" spans="1:6" x14ac:dyDescent="0.25">
      <c r="A10" t="s">
        <v>46</v>
      </c>
      <c r="B10" s="18">
        <f>B6*Assumptions!B9</f>
        <v>566586818.685315</v>
      </c>
      <c r="C10" s="18">
        <f>C6*Assumptions!B9</f>
        <v>612054056.7674304</v>
      </c>
      <c r="D10" s="18">
        <f>D6*Assumptions!B9</f>
        <v>661169932.0409522</v>
      </c>
      <c r="E10" s="18">
        <f>E6*Assumptions!B9</f>
        <v>714227238.9204093</v>
      </c>
      <c r="F10" s="18">
        <f>F6*Assumptions!B9</f>
        <v>771542267.8723314</v>
      </c>
    </row>
    <row r="11" spans="1:6" x14ac:dyDescent="0.25">
      <c r="A11" t="s">
        <v>47</v>
      </c>
      <c r="B11" s="18">
        <f>-B6*Assumptions!B10</f>
        <v>-622249855.8531914</v>
      </c>
      <c r="C11" s="18">
        <f>-C6*Assumptions!B10</f>
        <v>-672183919.6358374</v>
      </c>
      <c r="D11" s="18">
        <f>-D6*Assumptions!B10</f>
        <v>-726125072.6968421</v>
      </c>
      <c r="E11" s="18">
        <f>-E6*Assumptions!B10</f>
        <v>-784394874.3740275</v>
      </c>
      <c r="F11" s="18">
        <f>-F6*Assumptions!B10</f>
        <v>-847340688.3735641</v>
      </c>
    </row>
    <row r="12" spans="1:6" x14ac:dyDescent="0.25">
      <c r="A12" t="s">
        <v>48</v>
      </c>
      <c r="B12" s="18">
        <f>-(B6-Assumptions!B29)*Assumptions!B11</f>
        <v>-124233483.17440742</v>
      </c>
      <c r="C12" s="18">
        <f>-(C6-B6)*Assumptions!B11</f>
        <v>-134202923.28663579</v>
      </c>
      <c r="D12" s="18">
        <f>-(D6-C6)*Assumptions!B11</f>
        <v>-144972387.14135078</v>
      </c>
      <c r="E12" s="18">
        <f>-(E6-D6)*Assumptions!B11</f>
        <v>-156606074.73186535</v>
      </c>
      <c r="F12" s="18">
        <f>-(F6-E6)*Assumptions!B11</f>
        <v>-169173337.94752085</v>
      </c>
    </row>
    <row r="13" spans="1:6" x14ac:dyDescent="0.25">
      <c r="A13" s="19" t="s">
        <v>49</v>
      </c>
      <c r="B13" s="20">
        <f>B9+B10+B11+B12</f>
        <v>3417549471.650164</v>
      </c>
      <c r="C13" s="20">
        <f>C9+C10+C11+C12</f>
        <v>3691799648.958345</v>
      </c>
      <c r="D13" s="20">
        <f>D9+D10+D11+D12</f>
        <v>3988057747.549741</v>
      </c>
      <c r="E13" s="20">
        <f>E9+E10+E11+E12</f>
        <v>4308089850.509375</v>
      </c>
      <c r="F13" s="20">
        <f>F9+F10+F11+F12</f>
        <v>4653803764.868977</v>
      </c>
    </row>
    <row r="14" spans="1:6" x14ac:dyDescent="0.25">
      <c r="A14" t="s">
        <v>50</v>
      </c>
      <c r="B14" s="21">
        <f>1/(1+Assumptions!$B$26)^(1-0.5*Assumptions!$B$32)</f>
        <v>0.9545078616577649</v>
      </c>
      <c r="C14" s="21">
        <f>1/(1+Assumptions!$B$26)^(2-0.5*Assumptions!$B$32)</f>
        <v>0.8696380413694971</v>
      </c>
      <c r="D14" s="21">
        <f>1/(1+Assumptions!$B$26)^(3-0.5*Assumptions!$B$32)</f>
        <v>0.7923143992585917</v>
      </c>
      <c r="E14" s="21">
        <f>1/(1+Assumptions!$B$26)^(4-0.5*Assumptions!$B$32)</f>
        <v>0.7218659688390697</v>
      </c>
      <c r="F14" s="21">
        <f>1/(1+Assumptions!$B$26)^(5-0.5*Assumptions!$B$32)</f>
        <v>0.6576814424369662</v>
      </c>
    </row>
    <row r="15" spans="1:6" x14ac:dyDescent="0.25">
      <c r="A15" s="19" t="s">
        <v>51</v>
      </c>
      <c r="B15" s="20">
        <f>B13*B14</f>
        <v>3262077838.2944226</v>
      </c>
      <c r="C15" s="20">
        <f>C13*C14</f>
        <v>3210529415.848732</v>
      </c>
      <c r="D15" s="20">
        <f>D13*D14</f>
        <v>3159795578.458445</v>
      </c>
      <c r="E15" s="20">
        <f>E13*E14</f>
        <v>3109863453.783713</v>
      </c>
      <c r="F15" s="20">
        <f>F13*F14</f>
        <v>3060720372.8976126</v>
      </c>
    </row>
    <row r="17" spans="1:2" x14ac:dyDescent="0.25">
      <c r="A17" s="22" t="s">
        <v>52</v>
      </c>
      <c r="B17" s="23">
        <f>SUM(B15:F15)</f>
        <v>15802986659.282925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4653803764.868977</v>
      </c>
    </row>
    <row r="5" spans="1:2" x14ac:dyDescent="0.25">
      <c r="A5" t="s">
        <v>56</v>
      </c>
      <c r="B5" s="18">
        <f>IF(Assumptions!$B$33=0,B4,B4-Forecast!F11-Forecast!F10-Forecast!F12)</f>
        <v>4898775523.31773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0.09467941481920793</v>
      </c>
    </row>
    <row r="7" spans="1:2" x14ac:dyDescent="0.25">
      <c r="A7" t="s">
        <v>58</v>
      </c>
      <c r="B7" s="18">
        <f>-MAX(Forecast!F9,0)*B6</f>
        <v>-463813199.8783817</v>
      </c>
    </row>
    <row r="8" spans="1:2" x14ac:dyDescent="0.25">
      <c r="A8" t="s">
        <v>59</v>
      </c>
      <c r="B8" s="18">
        <f>IF(OR(Assumptions!$B$33=0,Assumptions!B12&lt;=0),B5,MAX(B5+B7,0))</f>
        <v>4434962323.439348</v>
      </c>
    </row>
    <row r="9" spans="1:2" x14ac:dyDescent="0.25">
      <c r="A9" t="s">
        <v>60</v>
      </c>
      <c r="B9" s="18">
        <f>B8*(1+Assumptions!B12)/(Assumptions!B26-Assumptions!B12)</f>
        <v>62621622942.55724</v>
      </c>
    </row>
    <row r="10" spans="1:2" x14ac:dyDescent="0.25">
      <c r="A10" t="s">
        <v>61</v>
      </c>
      <c r="B10" s="18">
        <f>B9/(1+Assumptions!B26)^(5-0.5*Assumptions!B32)</f>
        <v>41185079304.604866</v>
      </c>
    </row>
    <row r="11" spans="1:2" x14ac:dyDescent="0.25">
      <c r="A11" t="s">
        <v>62</v>
      </c>
      <c r="B11" s="18">
        <f>Forecast!B17+B10</f>
        <v>56988065963.88779</v>
      </c>
    </row>
    <row r="12" spans="1:2" x14ac:dyDescent="0.25">
      <c r="A12" t="s">
        <v>63</v>
      </c>
      <c r="B12" s="18">
        <f>-Assumptions!B30</f>
        <v>-16725000000</v>
      </c>
    </row>
    <row r="13" spans="1:2" x14ac:dyDescent="0.25">
      <c r="A13" t="s">
        <v>64</v>
      </c>
      <c r="B13" s="18">
        <f>B11+B12</f>
        <v>40263065963.88779</v>
      </c>
    </row>
    <row r="14" spans="1:2" x14ac:dyDescent="0.25">
      <c r="A14" s="19" t="s">
        <v>65</v>
      </c>
      <c r="B14" s="24">
        <f>B13/Assumptions!B31</f>
        <v>147.16032881537933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6972523942.958066</v>
      </c>
    </row>
    <row r="18" spans="1:2" x14ac:dyDescent="0.25">
      <c r="A18" t="s">
        <v>60</v>
      </c>
      <c r="B18" s="18">
        <f>B17*Assumptions!B13</f>
        <v>139450478859.16132</v>
      </c>
    </row>
    <row r="19" spans="1:2" x14ac:dyDescent="0.25">
      <c r="A19" t="s">
        <v>61</v>
      </c>
      <c r="B19" s="18">
        <f>B18/(1+Assumptions!B26)^(5-0.5*Assumptions!B32)</f>
        <v>91713992084.61888</v>
      </c>
    </row>
    <row r="20" spans="1:2" x14ac:dyDescent="0.25">
      <c r="A20" t="s">
        <v>62</v>
      </c>
      <c r="B20" s="18">
        <f>Forecast!B17+B19</f>
        <v>107516978743.90181</v>
      </c>
    </row>
    <row r="21" spans="1:2" x14ac:dyDescent="0.25">
      <c r="A21" t="s">
        <v>63</v>
      </c>
      <c r="B21" s="18">
        <f>-Assumptions!B30</f>
        <v>-16725000000</v>
      </c>
    </row>
    <row r="22" spans="1:2" x14ac:dyDescent="0.25">
      <c r="A22" t="s">
        <v>64</v>
      </c>
      <c r="B22" s="18">
        <f>B20+B21</f>
        <v>90791978743.90181</v>
      </c>
    </row>
    <row r="23" spans="1:2" x14ac:dyDescent="0.25">
      <c r="A23" s="19" t="s">
        <v>65</v>
      </c>
      <c r="B23" s="25">
        <f>B22/Assumptions!B31</f>
        <v>331.8420275727405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338.92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147.16032881537933</v>
      </c>
    </row>
    <row r="29" spans="1:2" x14ac:dyDescent="0.25">
      <c r="A29" s="19" t="s">
        <v>73</v>
      </c>
      <c r="B29" s="12">
        <f>B28/B26-1</f>
        <v>-0.5657962681004978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0.077592</v>
      </c>
      <c r="B5" s="31">
        <v>194.98006102761443</v>
      </c>
      <c r="C5" s="31">
        <v>208.72323261022646</v>
      </c>
      <c r="D5" s="31">
        <v>225.0335152073637</v>
      </c>
      <c r="E5" s="31">
        <v>244.72000835713956</v>
      </c>
      <c r="F5" s="31">
        <v>268.971741884159</v>
      </c>
    </row>
    <row r="6" spans="1:6" x14ac:dyDescent="0.25">
      <c r="A6" s="30">
        <v>0.087592</v>
      </c>
      <c r="B6" s="31">
        <v>159.78203713855763</v>
      </c>
      <c r="C6" s="31">
        <v>169.10265547962723</v>
      </c>
      <c r="D6" s="31">
        <v>179.8752579528163</v>
      </c>
      <c r="E6" s="31">
        <v>192.47801794994666</v>
      </c>
      <c r="F6" s="31">
        <v>207.432922899888</v>
      </c>
    </row>
    <row r="7" spans="1:6" x14ac:dyDescent="0.25">
      <c r="A7" s="30">
        <v>0.097592</v>
      </c>
      <c r="B7" s="31">
        <v>133.12471755009585</v>
      </c>
      <c r="C7" s="31">
        <v>139.70482597768085</v>
      </c>
      <c r="D7" s="32">
        <v>147.1606679414892</v>
      </c>
      <c r="E7" s="31">
        <v>155.68658601228904</v>
      </c>
      <c r="F7" s="31">
        <v>165.539020974923</v>
      </c>
    </row>
    <row r="8" spans="1:6" x14ac:dyDescent="0.25">
      <c r="A8" s="30">
        <v>0.107592</v>
      </c>
      <c r="B8" s="31">
        <v>112.24016218519311</v>
      </c>
      <c r="C8" s="31">
        <v>117.02810673757737</v>
      </c>
      <c r="D8" s="31">
        <v>122.36984323956155</v>
      </c>
      <c r="E8" s="31">
        <v>128.37243014103746</v>
      </c>
      <c r="F8" s="31">
        <v>135.17242182805828</v>
      </c>
    </row>
    <row r="9" spans="1:6" x14ac:dyDescent="0.25">
      <c r="A9" s="30">
        <v>0.117592</v>
      </c>
      <c r="B9" s="31">
        <v>95.43966905473863</v>
      </c>
      <c r="C9" s="31">
        <v>99.00608926074457</v>
      </c>
      <c r="D9" s="31">
        <v>102.93548246220803</v>
      </c>
      <c r="E9" s="31">
        <v>107.29000724589342</v>
      </c>
      <c r="F9" s="31">
        <v>112.14687416165218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26186000000</v>
      </c>
      <c r="C5" s="18">
        <v>25100000000</v>
      </c>
      <c r="D5" s="18">
        <v>23713000000</v>
      </c>
      <c r="E5" s="18">
        <v>20773000000</v>
      </c>
      <c r="F5" s="8" t="s">
        <v>84</v>
      </c>
    </row>
    <row r="6" spans="1:6" x14ac:dyDescent="0.25">
      <c r="A6" t="s">
        <v>44</v>
      </c>
      <c r="B6" s="18">
        <v>4139000000</v>
      </c>
      <c r="C6" s="18">
        <v>3844000000</v>
      </c>
      <c r="D6" s="18">
        <v>3924000000</v>
      </c>
      <c r="E6" s="18">
        <v>3474000000</v>
      </c>
      <c r="F6" s="8" t="s">
        <v>85</v>
      </c>
    </row>
    <row r="7" spans="1:6" x14ac:dyDescent="0.25">
      <c r="A7" t="s">
        <v>86</v>
      </c>
      <c r="B7" s="18">
        <v>599000000</v>
      </c>
      <c r="C7" s="18">
        <v>492000000</v>
      </c>
      <c r="D7" s="18">
        <v>436000000</v>
      </c>
      <c r="E7" s="18">
        <v>400000000</v>
      </c>
      <c r="F7" s="8" t="s">
        <v>87</v>
      </c>
    </row>
    <row r="8" spans="1:6" x14ac:dyDescent="0.25">
      <c r="A8" t="s">
        <v>88</v>
      </c>
      <c r="B8" s="18">
        <v>604000000</v>
      </c>
      <c r="C8" s="18">
        <v>750000000</v>
      </c>
      <c r="D8" s="18">
        <v>452000000</v>
      </c>
      <c r="E8" s="18">
        <v>332000000</v>
      </c>
      <c r="F8" s="8" t="s">
        <v>89</v>
      </c>
    </row>
    <row r="9" spans="1:6" x14ac:dyDescent="0.25">
      <c r="A9" t="s">
        <v>90</v>
      </c>
      <c r="B9" s="18">
        <v>147000000</v>
      </c>
      <c r="C9" s="18">
        <v>82000000</v>
      </c>
      <c r="D9" s="18">
        <v>-69000000</v>
      </c>
      <c r="E9" s="18">
        <v>542000000</v>
      </c>
      <c r="F9" s="8" t="s">
        <v>91</v>
      </c>
    </row>
    <row r="10" spans="1:6" x14ac:dyDescent="0.25">
      <c r="A10" t="s">
        <v>92</v>
      </c>
      <c r="B10" s="18">
        <v>17083000000</v>
      </c>
      <c r="C10" s="18">
        <v>15241000000</v>
      </c>
      <c r="D10" s="18">
        <v>12760000000</v>
      </c>
      <c r="E10" s="18">
        <v>11098000000</v>
      </c>
      <c r="F10" s="8" t="s">
        <v>93</v>
      </c>
    </row>
    <row r="11" spans="1:6" x14ac:dyDescent="0.25">
      <c r="A11" t="s">
        <v>94</v>
      </c>
      <c r="B11" s="18">
        <v>358000000</v>
      </c>
      <c r="C11" s="18">
        <v>396000000</v>
      </c>
      <c r="D11" s="18">
        <v>338000000</v>
      </c>
      <c r="E11" s="18">
        <v>507000000</v>
      </c>
      <c r="F11" s="8" t="s">
        <v>95</v>
      </c>
    </row>
    <row r="12" spans="1:6" x14ac:dyDescent="0.25">
      <c r="A12" t="s">
        <v>32</v>
      </c>
      <c r="B12" s="34">
        <v>273600000</v>
      </c>
      <c r="C12" s="34">
        <v>285200000</v>
      </c>
      <c r="D12" s="34">
        <v>302900000</v>
      </c>
      <c r="E12" s="34">
        <v>325800000</v>
      </c>
      <c r="F12" s="8" t="s">
        <v>96</v>
      </c>
    </row>
    <row r="15" spans="1:1" x14ac:dyDescent="0.25">
      <c r="A15" s="19" t="s">
        <v>97</v>
      </c>
    </row>
    <row r="16" ht="38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2026-09-19T00:07:04Z</dcterms:modified>
</cp:coreProperties>
</file>