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<sst xmlns="http://schemas.openxmlformats.org/spreadsheetml/2006/main" count="120" uniqueCount="107">
  <si>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Marriott International, Inc. (MAR)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</si>
  <si>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</si>
  <si>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</si>
  <si>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</si>
  <si>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</si>
  <si>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</si>
  <si>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</si>
  <si>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</si>
  <si>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</si>
  <si>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</si>
  <si>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</si>
  <si>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</si>
  <si>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</si>
  <si>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</si>
  <si>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</si>
  <si>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</si>
  <si>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</si>
  <si>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</si>
  <si>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</si>
  <si>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</si>
  <si>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</si>
  <si>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</si>
  <si>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</si>
  <si>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</si>
  <si>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5.1x interest cover. Book interest / average debt was lower, at 5.0%.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</si>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</sst>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0.060732769036889955</v>
      </c>
    </row>
    <row r="7" spans="1:2" x14ac:dyDescent="0.25">
      <c r="A7" t="s">
        <v>4</v>
      </c>
      <c r="B7" s="5">
        <v>0.1609810344014516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0.020029678988659892</v>
      </c>
    </row>
    <row r="10" spans="1:3" x14ac:dyDescent="0.25">
      <c r="A10" t="s">
        <v>7</v>
      </c>
      <c r="B10" s="5">
        <v>0.021997449380130357</v>
      </c>
      <c r="C10" s="6" t="s">
        <v>8</v>
      </c>
    </row>
    <row r="11" spans="1:2" x14ac:dyDescent="0.25">
      <c r="A11" t="s">
        <v>9</v>
      </c>
      <c r="B11" s="5">
        <v>0.08210082623161469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0.26404894926461003</v>
      </c>
      <c r="C14" s="6" t="s">
        <v>13</v>
      </c>
    </row>
    <row r="15" spans="1:3" x14ac:dyDescent="0.25">
      <c r="A15" t="s">
        <v>14</v>
      </c>
      <c r="B15" s="5">
        <v>0.020029678988659892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1.11189</v>
      </c>
      <c r="C19" s="6" t="s">
        <v>21</v>
      </c>
    </row>
    <row r="20" spans="1:2" x14ac:dyDescent="0.25">
      <c r="A20" t="s">
        <v>22</v>
      </c>
      <c r="B20" s="9">
        <f>B17+B19*B18</f>
        <v>0.095972947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104123973632</v>
      </c>
    </row>
    <row r="23" spans="1:2" x14ac:dyDescent="0.25">
      <c r="A23" t="s">
        <v>26</v>
      </c>
      <c r="B23" s="10">
        <v>17083000000</v>
      </c>
    </row>
    <row r="24" spans="1:2" x14ac:dyDescent="0.25">
      <c r="A24" t="s">
        <v>27</v>
      </c>
      <c r="B24" s="9">
        <f>B22/(B22+B23)</f>
        <v>0.8590592645942453</v>
      </c>
    </row>
    <row r="25" spans="1:2" x14ac:dyDescent="0.25">
      <c r="A25" t="s">
        <v>28</v>
      </c>
      <c r="B25" s="9">
        <f>1-B24</f>
        <v>0.1409407354057547</v>
      </c>
    </row>
    <row r="26" spans="1:2" x14ac:dyDescent="0.25">
      <c r="A26" t="s">
        <v>29</v>
      </c>
      <c r="B26" s="11">
        <f>B24*B20+B25*B21*(1-B8)</f>
        <v>0.08876406135903128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26186000000</v>
      </c>
      <c r="C29" s="6" t="s">
        <v>32</v>
      </c>
    </row>
    <row r="30" spans="1:2" x14ac:dyDescent="0.25">
      <c r="A30" t="s">
        <v>33</v>
      </c>
      <c r="B30" s="10">
        <v>16725000000</v>
      </c>
    </row>
    <row r="31" spans="1:2" x14ac:dyDescent="0.25">
      <c r="A31" t="s">
        <v>34</v>
      </c>
      <c r="B31" s="12">
        <v>273600000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0.060732769036889955</v>
      </c>
      <c r="C5" s="5">
        <v>0.059459739730963745</v>
      </c>
      <c r="D5" s="5">
        <v>0.05515227226459328</v>
      </c>
      <c r="E5" s="5">
        <v>0.05084480479822281</v>
      </c>
      <c r="F5" s="5">
        <v>0.04653733733185234</v>
      </c>
      <c r="G5" s="5">
        <v>0.04222986986548187</v>
      </c>
      <c r="H5" s="5">
        <v>0.037922402399111405</v>
      </c>
      <c r="I5" s="5">
        <v>0.03361493493274094</v>
      </c>
      <c r="J5" s="5">
        <v>0.02930746746637047</v>
      </c>
      <c r="K5" s="5">
        <v>0.025</v>
      </c>
    </row>
    <row r="6" spans="1:11" x14ac:dyDescent="0.25">
      <c r="A6" t="s">
        <v>50</v>
      </c>
      <c r="B6" s="18">
        <f>Assumptions!B29*(1+B5)</f>
        <v>27776348290</v>
      </c>
      <c r="C6" s="18">
        <f>B6*(1+C5)</f>
        <v>29427922730</v>
      </c>
      <c r="D6" s="18">
        <f>C6*(1+D5)</f>
        <v>31050939536.58637</v>
      </c>
      <c r="E6" s="18">
        <f>D6*(1+E5)</f>
        <v>32629718496.125523</v>
      </c>
      <c r="F6" s="18">
        <f>E6*(1+F5)</f>
        <v>34148218712.823097</v>
      </c>
      <c r="G6" s="18">
        <f>F6*(1+G5)</f>
        <v>35590293545.20363</v>
      </c>
      <c r="H6" s="18">
        <f>G6*(1+H5)</f>
        <v>36939962978.527336</v>
      </c>
      <c r="I6" s="18">
        <f>H6*(1+I5)</f>
        <v>38181697430.4684</v>
      </c>
      <c r="J6" s="18">
        <f>I6*(1+J5)</f>
        <v>39300706285.72266</v>
      </c>
      <c r="K6" s="18">
        <f>J6*(1+K5)</f>
        <v>40283223942.86572</v>
      </c>
    </row>
    <row r="7" spans="1:11" x14ac:dyDescent="0.25">
      <c r="A7" t="s">
        <v>4</v>
      </c>
      <c r="B7" s="9">
        <f>Assumptions!B7</f>
        <v>0.1609810344014516</v>
      </c>
      <c r="C7" s="9">
        <f>Assumptions!B7</f>
        <v>0.1609810344014516</v>
      </c>
      <c r="D7" s="9">
        <f>Assumptions!B7</f>
        <v>0.1609810344014516</v>
      </c>
      <c r="E7" s="9">
        <f>Assumptions!B7</f>
        <v>0.1609810344014516</v>
      </c>
      <c r="F7" s="9">
        <f>Assumptions!B7</f>
        <v>0.1609810344014516</v>
      </c>
      <c r="G7" s="9">
        <f>Assumptions!B7</f>
        <v>0.1609810344014516</v>
      </c>
      <c r="H7" s="9">
        <f>Assumptions!B7</f>
        <v>0.1609810344014516</v>
      </c>
      <c r="I7" s="9">
        <f>Assumptions!B7</f>
        <v>0.1609810344014516</v>
      </c>
      <c r="J7" s="9">
        <f>Assumptions!B7</f>
        <v>0.1609810344014516</v>
      </c>
      <c r="K7" s="9">
        <f>Assumptions!B7</f>
        <v>0.1609810344014516</v>
      </c>
    </row>
    <row r="8" spans="1:11" x14ac:dyDescent="0.25">
      <c r="A8" t="s">
        <v>51</v>
      </c>
      <c r="B8" s="18">
        <f>B6*B7</f>
        <v>4471465279.619191</v>
      </c>
      <c r="C8" s="18">
        <f>C6*C7</f>
        <v>4737337441.361389</v>
      </c>
      <c r="D8" s="18">
        <f>D6*D7</f>
        <v>4998612365.736604</v>
      </c>
      <c r="E8" s="18">
        <f>E6*E7</f>
        <v>5252765835.734464</v>
      </c>
      <c r="F8" s="18">
        <f>F6*F7</f>
        <v>5497215571.357268</v>
      </c>
      <c r="G8" s="18">
        <f>G6*G7</f>
        <v>5729362269.558186</v>
      </c>
      <c r="H8" s="18">
        <f>H6*H7</f>
        <v>5946633451.0346575</v>
      </c>
      <c r="I8" s="18">
        <f>I6*I7</f>
        <v>6146529147.560049</v>
      </c>
      <c r="J8" s="18">
        <f>J6*J7</f>
        <v>6326668350.583263</v>
      </c>
      <c r="K8" s="18">
        <f>K6*K7</f>
        <v>6484835059.347845</v>
      </c>
    </row>
    <row r="9" spans="1:11" x14ac:dyDescent="0.25">
      <c r="A9" t="s">
        <v>52</v>
      </c>
      <c r="B9" s="18">
        <f>B8*(1-Assumptions!B8)</f>
        <v>3532457570.8991613</v>
      </c>
      <c r="C9" s="18">
        <f>C8*(1-Assumptions!B8)</f>
        <v>3742496578.6754975</v>
      </c>
      <c r="D9" s="18">
        <f>D8*(1-Assumptions!B8)</f>
        <v>3948903768.931917</v>
      </c>
      <c r="E9" s="18">
        <f>E8*(1-Assumptions!B8)</f>
        <v>4149685010.2302265</v>
      </c>
      <c r="F9" s="18">
        <f>F8*(1-Assumptions!B8)</f>
        <v>4342800301.372242</v>
      </c>
      <c r="G9" s="18">
        <f>G8*(1-Assumptions!B8)</f>
        <v>4526196192.950967</v>
      </c>
      <c r="H9" s="18">
        <f>H8*(1-Assumptions!B8)</f>
        <v>4697840426.31738</v>
      </c>
      <c r="I9" s="18">
        <f>I8*(1-Assumptions!B8)</f>
        <v>4855758026.572439</v>
      </c>
      <c r="J9" s="18">
        <f>J8*(1-Assumptions!B8)</f>
        <v>4998067996.960778</v>
      </c>
      <c r="K9" s="18">
        <f>K8*(1-Assumptions!B8)</f>
        <v>5123019696.884798</v>
      </c>
    </row>
    <row r="10" spans="1:11" x14ac:dyDescent="0.25">
      <c r="A10" t="s">
        <v>53</v>
      </c>
      <c r="B10" s="18">
        <f>B6*Assumptions!B9</f>
        <v>556351339.7259121</v>
      </c>
      <c r="C10" s="18">
        <f>C6*Assumptions!B9</f>
        <v>589431845.5849879</v>
      </c>
      <c r="D10" s="18">
        <f>D6*Assumptions!B9</f>
        <v>621940351.2141128</v>
      </c>
      <c r="E10" s="18">
        <f>E6*Assumptions!B9</f>
        <v>653562786.9677324</v>
      </c>
      <c r="F10" s="18">
        <f>F6*Assumptions!B9</f>
        <v>683977858.8523953</v>
      </c>
      <c r="G10" s="18">
        <f>G6*Assumptions!B9</f>
        <v>712862154.8226029</v>
      </c>
      <c r="H10" s="18">
        <f>H6*Assumptions!B9</f>
        <v>739895600.3128833</v>
      </c>
      <c r="I10" s="18">
        <f>I6*Assumptions!B9</f>
        <v>764767142.7744223</v>
      </c>
      <c r="J10" s="18">
        <f>J6*Assumptions!B9</f>
        <v>787180530.9306328</v>
      </c>
      <c r="K10" s="18">
        <f>K6*Assumptions!B9</f>
        <v>806860044.2038987</v>
      </c>
    </row>
    <row r="11" spans="1:11" x14ac:dyDescent="0.25">
      <c r="A11" t="s">
        <v>54</v>
      </c>
      <c r="B11" s="18">
        <f>-B6*B19</f>
        <v>-611008815.4741454</v>
      </c>
      <c r="C11" s="18">
        <f>-C6*C19</f>
        <v>-680275906.2823746</v>
      </c>
      <c r="D11" s="18">
        <f>-D6*D19</f>
        <v>-752547865.8998591</v>
      </c>
      <c r="E11" s="18">
        <f>-E6*E19</f>
        <v>-827331232.4110726</v>
      </c>
      <c r="F11" s="18">
        <f>-F6*F19</f>
        <v>-904052795.8929697</v>
      </c>
      <c r="G11" s="18">
        <f>-G6*G19</f>
        <v>-982064614.5976692</v>
      </c>
      <c r="H11" s="18">
        <f>-H6*H19</f>
        <v>-1060651243.7684356</v>
      </c>
      <c r="I11" s="18">
        <f>-I6*I19</f>
        <v>-1139039134.6206858</v>
      </c>
      <c r="J11" s="18">
        <f>-J6*J19</f>
        <v>-1216408085.5554972</v>
      </c>
      <c r="K11" s="18">
        <f>-K6*K19</f>
        <v>-1291904551.2122273</v>
      </c>
    </row>
    <row r="12" spans="1:11" x14ac:dyDescent="0.25">
      <c r="A12" t="s">
        <v>55</v>
      </c>
      <c r="B12" s="18">
        <f>-(B6-Assumptions!B29)*Assumptions!B11</f>
        <v>-130568908.60503556</v>
      </c>
      <c r="C12" s="18">
        <f>-(C6-B6)*Assumptions!B11</f>
        <v>-135595626.10701632</v>
      </c>
      <c r="D12" s="18">
        <f>-(D6-C6)*Assumptions!B11</f>
        <v>-133251020.80853763</v>
      </c>
      <c r="E12" s="18">
        <f>-(E6-D6)*Assumptions!B11</f>
        <v>-129619057.01525353</v>
      </c>
      <c r="F12" s="18">
        <f>-(F6-E6)*Assumptions!B11</f>
        <v>-124670122.42375682</v>
      </c>
      <c r="G12" s="18">
        <f>-(G6-F6)*Assumptions!B11</f>
        <v>-118395535.22625887</v>
      </c>
      <c r="H12" s="18">
        <f>-(H6-G6)*Assumptions!B11</f>
        <v>-110808975.61543158</v>
      </c>
      <c r="I12" s="18">
        <f>-(I6-H6)*Assumptions!B11</f>
        <v>-101947424.46462251</v>
      </c>
      <c r="J12" s="18">
        <f>-(J6-I6)*Assumptions!B11</f>
        <v>-91871551.57686785</v>
      </c>
      <c r="K12" s="18">
        <f>-(K6-J6)*Assumptions!B11</f>
        <v>-80665511.43859607</v>
      </c>
    </row>
    <row r="13" spans="1:11" x14ac:dyDescent="0.25">
      <c r="A13" s="19" t="s">
        <v>56</v>
      </c>
      <c r="B13" s="20">
        <f>B9+B10+B11+B12</f>
        <v>3347231186.5458922</v>
      </c>
      <c r="C13" s="20">
        <f>C9+C10+C11+C12</f>
        <v>3516056891.8710947</v>
      </c>
      <c r="D13" s="20">
        <f>D9+D10+D11+D12</f>
        <v>3685045233.437634</v>
      </c>
      <c r="E13" s="20">
        <f>E9+E10+E11+E12</f>
        <v>3846297507.7716327</v>
      </c>
      <c r="F13" s="20">
        <f>F9+F10+F11+F12</f>
        <v>3998055241.907911</v>
      </c>
      <c r="G13" s="20">
        <f>G9+G10+G11+G12</f>
        <v>4138598197.949642</v>
      </c>
      <c r="H13" s="20">
        <f>H9+H10+H11+H12</f>
        <v>4266275807.246396</v>
      </c>
      <c r="I13" s="20">
        <f>I9+I10+I11+I12</f>
        <v>4379538610.261554</v>
      </c>
      <c r="J13" s="20">
        <f>J9+J10+J11+J12</f>
        <v>4476968890.759046</v>
      </c>
      <c r="K13" s="20">
        <f>K9+K10+K11+K12</f>
        <v>4557309678.437873</v>
      </c>
    </row>
    <row r="14" spans="1:11" x14ac:dyDescent="0.25">
      <c r="A14" t="s">
        <v>57</v>
      </c>
      <c r="B14" s="21">
        <f>1/(1+Assumptions!$B$26)^(1-0.5*Assumptions!$B$32)</f>
        <v>0.9583697816453947</v>
      </c>
      <c r="C14" s="21">
        <f>1/(1+Assumptions!$B$26)^(2-0.5*Assumptions!$B$32)</f>
        <v>0.8802364218829247</v>
      </c>
      <c r="D14" s="21">
        <f>1/(1+Assumptions!$B$26)^(3-0.5*Assumptions!$B$32)</f>
        <v>0.808473068797095</v>
      </c>
      <c r="E14" s="21">
        <f>1/(1+Assumptions!$B$26)^(4-0.5*Assumptions!$B$32)</f>
        <v>0.7425603925500005</v>
      </c>
      <c r="F14" s="21">
        <f>1/(1+Assumptions!$B$26)^(5-0.5*Assumptions!$B$32)</f>
        <v>0.6820214028952352</v>
      </c>
      <c r="G14" s="21">
        <f>1/(1+Assumptions!$B$26)^(6-0.5*Assumptions!$B$32)</f>
        <v>0.6264179973427059</v>
      </c>
      <c r="H14" s="21">
        <f>1/(1+Assumptions!$B$26)^(7-0.5*Assumptions!$B$32)</f>
        <v>0.5753477907424591</v>
      </c>
      <c r="I14" s="21">
        <f>1/(1+Assumptions!$B$26)^(8-0.5*Assumptions!$B$32)</f>
        <v>0.5284412033441763</v>
      </c>
      <c r="J14" s="21">
        <f>1/(1+Assumptions!$B$26)^(9-0.5*Assumptions!$B$32)</f>
        <v>0.48535878625949364</v>
      </c>
      <c r="K14" s="21">
        <f>1/(1+Assumptions!$B$26)^(10-0.5*Assumptions!$B$32)</f>
        <v>0.44578876497232356</v>
      </c>
    </row>
    <row r="15" spans="1:11" x14ac:dyDescent="0.25">
      <c r="A15" s="19" t="s">
        <v>58</v>
      </c>
      <c r="B15" s="20">
        <f>B13*B14</f>
        <v>3207885221.366642</v>
      </c>
      <c r="C15" s="20">
        <f>C13*C14</f>
        <v>3094961337.63741</v>
      </c>
      <c r="D15" s="20">
        <f>D13*D14</f>
        <v>2979259828.5334315</v>
      </c>
      <c r="E15" s="20">
        <f>E13*E14</f>
        <v>2856108187.234992</v>
      </c>
      <c r="F15" s="20">
        <f>F13*F14</f>
        <v>2726759244.938682</v>
      </c>
      <c r="G15" s="20">
        <f>G13*G14</f>
        <v>2592492394.9657464</v>
      </c>
      <c r="H15" s="20">
        <f>H13*H14</f>
        <v>2454592360.3972154</v>
      </c>
      <c r="I15" s="20">
        <f>I13*I14</f>
        <v>2314328653.2988973</v>
      </c>
      <c r="J15" s="20">
        <f>J13*J14</f>
        <v>2172936186.940322</v>
      </c>
      <c r="K15" s="20">
        <f>K13*K14</f>
        <v>2031597453.1472363</v>
      </c>
    </row>
    <row r="17" spans="1:2" x14ac:dyDescent="0.25">
      <c r="A17" s="22" t="s">
        <v>59</v>
      </c>
      <c r="B17" s="23">
        <f>SUM(B15:K15)</f>
        <v>26430920868.46058</v>
      </c>
    </row>
    <row r="19" spans="1:11" x14ac:dyDescent="0.25">
      <c r="A19" t="s">
        <v>7</v>
      </c>
      <c r="B19" s="9">
        <f>Assumptions!$B$10+($B$20-Assumptions!$B$10)*0/9</f>
        <v>0.021997449380130357</v>
      </c>
      <c r="C19" s="9">
        <f>Assumptions!$B$10+($B$20-Assumptions!$B$10)*1/9</f>
        <v>0.0231166811372953</v>
      </c>
      <c r="D19" s="9">
        <f>Assumptions!$B$10+($B$20-Assumptions!$B$10)*2/9</f>
        <v>0.024235912894460247</v>
      </c>
      <c r="E19" s="9">
        <f>Assumptions!$B$10+($B$20-Assumptions!$B$10)*3/9</f>
        <v>0.02535514465162519</v>
      </c>
      <c r="F19" s="9">
        <f>Assumptions!$B$10+($B$20-Assumptions!$B$10)*4/9</f>
        <v>0.026474376408790138</v>
      </c>
      <c r="G19" s="9">
        <f>Assumptions!$B$10+($B$20-Assumptions!$B$10)*5/9</f>
        <v>0.02759360816595508</v>
      </c>
      <c r="H19" s="9">
        <f>Assumptions!$B$10+($B$20-Assumptions!$B$10)*6/9</f>
        <v>0.02871283992312003</v>
      </c>
      <c r="I19" s="9">
        <f>Assumptions!$B$10+($B$20-Assumptions!$B$10)*7/9</f>
        <v>0.029832071680284972</v>
      </c>
      <c r="J19" s="9">
        <f>Assumptions!$B$10+($B$20-Assumptions!$B$10)*8/9</f>
        <v>0.030951303437449916</v>
      </c>
      <c r="K19" s="9">
        <f>Assumptions!$B$10+($B$20-Assumptions!$B$10)*9/9</f>
        <v>0.03207053519461486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0.03207053519461486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4557309678.437873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5123019696.884798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0.09467941481920793</v>
      </c>
    </row>
    <row r="7" spans="1:2" x14ac:dyDescent="0.25">
      <c r="A7" t="s">
        <v>66</v>
      </c>
      <c r="B7" s="18">
        <f>-MAX(B5,0)*B6</f>
        <v>-485044507.0083287</v>
      </c>
    </row>
    <row r="8" spans="1:2" x14ac:dyDescent="0.25">
      <c r="A8" t="s">
        <v>67</v>
      </c>
      <c r="B8" s="18">
        <f>IF(OR(Assumptions!$B$33=0,Assumptions!B12&lt;=0),B5,MAX(B5+B7,0))</f>
        <v>4637975189.87647</v>
      </c>
    </row>
    <row r="9" spans="1:2" x14ac:dyDescent="0.25">
      <c r="A9" t="s">
        <v>68</v>
      </c>
      <c r="B9" s="18">
        <f>B8*(1+Assumptions!B12)/(Assumptions!B26-Assumptions!B12)</f>
        <v>74554921193.86548</v>
      </c>
    </row>
    <row r="10" spans="1:2" x14ac:dyDescent="0.25">
      <c r="A10" t="s">
        <v>69</v>
      </c>
      <c r="B10" s="18">
        <f>B9/(1+Assumptions!B26)^(10-0.5*Assumptions!B32)</f>
        <v>33235746241.622204</v>
      </c>
    </row>
    <row r="11" spans="1:2" x14ac:dyDescent="0.25">
      <c r="A11" t="s">
        <v>70</v>
      </c>
      <c r="B11" s="18">
        <f>Forecast!B17+B10</f>
        <v>59666667110.08278</v>
      </c>
    </row>
    <row r="12" spans="1:2" x14ac:dyDescent="0.25">
      <c r="A12" t="s">
        <v>71</v>
      </c>
      <c r="B12" s="18">
        <f>-Assumptions!B30</f>
        <v>-16725000000</v>
      </c>
    </row>
    <row r="13" spans="1:2" x14ac:dyDescent="0.25">
      <c r="A13" t="s">
        <v>72</v>
      </c>
      <c r="B13" s="18">
        <f>B11+B12</f>
        <v>42941667110.08278</v>
      </c>
    </row>
    <row r="14" spans="1:2" x14ac:dyDescent="0.25">
      <c r="A14" s="19" t="s">
        <v>73</v>
      </c>
      <c r="B14" s="24">
        <f>B13/Assumptions!B31</f>
        <v>156.9505376830511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7291695103.5517435</v>
      </c>
    </row>
    <row r="18" spans="1:2" x14ac:dyDescent="0.25">
      <c r="A18" t="s">
        <v>68</v>
      </c>
      <c r="B18" s="18">
        <f>B17*Assumptions!B13</f>
        <v>145833902071.03488</v>
      </c>
    </row>
    <row r="19" spans="1:2" x14ac:dyDescent="0.25">
      <c r="A19" t="s">
        <v>69</v>
      </c>
      <c r="B19" s="18">
        <f>B18/(1+Assumptions!B26)^(10-0.5*Assumptions!B32)</f>
        <v>65011115095.341415</v>
      </c>
    </row>
    <row r="20" spans="1:2" x14ac:dyDescent="0.25">
      <c r="A20" t="s">
        <v>70</v>
      </c>
      <c r="B20" s="18">
        <f>Forecast!B17+B19</f>
        <v>91442035963.802</v>
      </c>
    </row>
    <row r="21" spans="1:2" x14ac:dyDescent="0.25">
      <c r="A21" t="s">
        <v>71</v>
      </c>
      <c r="B21" s="18">
        <f>-Assumptions!B30</f>
        <v>-16725000000</v>
      </c>
    </row>
    <row r="22" spans="1:2" x14ac:dyDescent="0.25">
      <c r="A22" t="s">
        <v>72</v>
      </c>
      <c r="B22" s="18">
        <f>B20+B21</f>
        <v>74717035963.802</v>
      </c>
    </row>
    <row r="23" spans="1:2" x14ac:dyDescent="0.25">
      <c r="A23" s="19" t="s">
        <v>73</v>
      </c>
      <c r="B23" s="25">
        <f>B22/Assumptions!B31</f>
        <v>273.0885817390424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399.3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156.9505376830511</v>
      </c>
    </row>
    <row r="29" spans="1:2" x14ac:dyDescent="0.25">
      <c r="A29" s="19" t="s">
        <v>81</v>
      </c>
      <c r="B29" s="11">
        <f>B28/B26-1</f>
        <v>-0.6069357934308763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0.068764</v>
      </c>
      <c r="B5" s="31">
        <v>223.5306500813948</v>
      </c>
      <c r="C5" s="31">
        <v>237.68988106455274</v>
      </c>
      <c r="D5" s="31">
        <v>255.27806021421293</v>
      </c>
      <c r="E5" s="31">
        <v>277.6220429244921</v>
      </c>
      <c r="F5" s="31">
        <v>306.8346432402097</v>
      </c>
    </row>
    <row r="6" spans="1:6" x14ac:dyDescent="0.25">
      <c r="A6" s="30">
        <v>0.078764</v>
      </c>
      <c r="B6" s="31">
        <v>178.43927459932812</v>
      </c>
      <c r="C6" s="31">
        <v>186.8423404305849</v>
      </c>
      <c r="D6" s="31">
        <v>196.9573219762368</v>
      </c>
      <c r="E6" s="31">
        <v>209.31081130658032</v>
      </c>
      <c r="F6" s="31">
        <v>224.67005128722107</v>
      </c>
    </row>
    <row r="7" spans="1:6" x14ac:dyDescent="0.25">
      <c r="A7" s="30">
        <v>0.088764</v>
      </c>
      <c r="B7" s="31">
        <v>145.6395464539939</v>
      </c>
      <c r="C7" s="31">
        <v>150.8288168911548</v>
      </c>
      <c r="D7" s="32">
        <v>156.9507445998217</v>
      </c>
      <c r="E7" s="31">
        <v>164.24339810958062</v>
      </c>
      <c r="F7" s="31">
        <v>173.03340652199347</v>
      </c>
    </row>
    <row r="8" spans="1:6" x14ac:dyDescent="0.25">
      <c r="A8" s="30">
        <v>0.098764</v>
      </c>
      <c r="B8" s="31">
        <v>120.72463896469802</v>
      </c>
      <c r="C8" s="31">
        <v>123.99606065232115</v>
      </c>
      <c r="D8" s="31">
        <v>127.80825109006709</v>
      </c>
      <c r="E8" s="31">
        <v>132.27917216572368</v>
      </c>
      <c r="F8" s="31">
        <v>137.56378529276347</v>
      </c>
    </row>
    <row r="9" spans="1:6" x14ac:dyDescent="0.25">
      <c r="A9" s="30">
        <v>0.108764</v>
      </c>
      <c r="B9" s="31">
        <v>101.16805922169479</v>
      </c>
      <c r="C9" s="31">
        <v>103.23862424921225</v>
      </c>
      <c r="D9" s="31">
        <v>105.63755813875181</v>
      </c>
      <c r="E9" s="31">
        <v>108.42739622283021</v>
      </c>
      <c r="F9" s="31">
        <v>111.68762934953143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26186000000</v>
      </c>
      <c r="C5" s="18">
        <v>25100000000</v>
      </c>
      <c r="D5" s="18">
        <v>23713000000</v>
      </c>
      <c r="E5" s="18">
        <v>20773000000</v>
      </c>
      <c r="F5" s="6" t="s">
        <v>91</v>
      </c>
    </row>
    <row r="6" spans="1:6" x14ac:dyDescent="0.25">
      <c r="A6" t="s">
        <v>51</v>
      </c>
      <c r="B6" s="18">
        <v>4139000000</v>
      </c>
      <c r="C6" s="18">
        <v>3844000000</v>
      </c>
      <c r="D6" s="18">
        <v>3924000000</v>
      </c>
      <c r="E6" s="18">
        <v>3474000000</v>
      </c>
      <c r="F6" s="6" t="s">
        <v>92</v>
      </c>
    </row>
    <row r="7" spans="1:6" x14ac:dyDescent="0.25">
      <c r="A7" t="s">
        <v>93</v>
      </c>
      <c r="B7" s="18">
        <v>599000000</v>
      </c>
      <c r="C7" s="18">
        <v>492000000</v>
      </c>
      <c r="D7" s="18">
        <v>436000000</v>
      </c>
      <c r="E7" s="18">
        <v>400000000</v>
      </c>
      <c r="F7" s="6" t="s">
        <v>94</v>
      </c>
    </row>
    <row r="8" spans="1:6" x14ac:dyDescent="0.25">
      <c r="A8" t="s">
        <v>95</v>
      </c>
      <c r="B8" s="18">
        <v>604000000</v>
      </c>
      <c r="C8" s="18">
        <v>750000000</v>
      </c>
      <c r="D8" s="18">
        <v>452000000</v>
      </c>
      <c r="E8" s="18">
        <v>332000000</v>
      </c>
      <c r="F8" s="6" t="s">
        <v>96</v>
      </c>
    </row>
    <row r="9" spans="1:6" x14ac:dyDescent="0.25">
      <c r="A9" t="s">
        <v>97</v>
      </c>
      <c r="B9" s="18">
        <v>147000000</v>
      </c>
      <c r="C9" s="18">
        <v>82000000</v>
      </c>
      <c r="D9" s="18">
        <v>-69000000</v>
      </c>
      <c r="E9" s="18">
        <v>542000000</v>
      </c>
      <c r="F9" s="6" t="s">
        <v>98</v>
      </c>
    </row>
    <row r="10" spans="1:6" x14ac:dyDescent="0.25">
      <c r="A10" t="s">
        <v>99</v>
      </c>
      <c r="B10" s="18">
        <v>17083000000</v>
      </c>
      <c r="C10" s="18">
        <v>15241000000</v>
      </c>
      <c r="D10" s="18">
        <v>12760000000</v>
      </c>
      <c r="E10" s="18">
        <v>11098000000</v>
      </c>
      <c r="F10" s="6" t="s">
        <v>100</v>
      </c>
    </row>
    <row r="11" spans="1:6" x14ac:dyDescent="0.25">
      <c r="A11" t="s">
        <v>101</v>
      </c>
      <c r="B11" s="18">
        <v>358000000</v>
      </c>
      <c r="C11" s="18">
        <v>396000000</v>
      </c>
      <c r="D11" s="18">
        <v>338000000</v>
      </c>
      <c r="E11" s="18">
        <v>507000000</v>
      </c>
      <c r="F11" s="6" t="s">
        <v>102</v>
      </c>
    </row>
    <row r="12" spans="1:6" x14ac:dyDescent="0.25">
      <c r="A12" t="s">
        <v>34</v>
      </c>
      <c r="B12" s="34">
        <v>273600000</v>
      </c>
      <c r="C12" s="34">
        <v>285200000</v>
      </c>
      <c r="D12" s="34">
        <v>302900000</v>
      </c>
      <c r="E12" s="34">
        <v>325800000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