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<sst xmlns="http://schemas.openxmlformats.org/spreadsheetml/2006/main" count="120" uniqueCount="107">
  <si>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Masco Corporation (MAS)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</si>
  <si>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</si>
  <si>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</si>
  <si>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</si>
  <si>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</si>
  <si>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</si>
  <si>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</si>
  <si>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</si>
  <si>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</si>
  <si>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</si>
  <si>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</si>
  <si>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</si>
  <si>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</si>
  <si>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</si>
  <si>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</si>
  <si>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</si>
  <si>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</si>
  <si>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</si>
  <si>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</si>
  <si>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</si>
  <si>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</si>
  <si>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</si>
  <si>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</si>
  <si>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</si>
  <si>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12.4x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</si>
  <si>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</si>
  <si>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</si>
  <si>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</si>
  <si>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</si>
  <si>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</si>
  <si>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</si>
  <si>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</si>
  <si>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</si>
  <si>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</si>
  <si>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</si>
  <si>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</si>
  <si>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</si>
  <si>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</si>
  <si>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</si>
  <si>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</si>
  <si>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</si>
  <si>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</si>
  <si>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</si>
  <si>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</si>
  <si>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</si>
  <si>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</si>
  <si>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</si>
  <si>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</si>
  <si>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</si>
  <si>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</si>
  <si>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</si>
  <si>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</si>
  <si>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</si>
  <si>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</si>
  <si>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</si>
  <si>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</si>
  <si>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</si>
  <si>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</si>
  <si>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</si>
  <si>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</si>
  <si>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</si>
  <si>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</si>
  <si>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</si>
  <si>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</si>
  <si>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</si>
  <si>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</si>
  <si>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</si>
  <si>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</si>
  <si>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</si>
  <si>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</si>
  <si>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</si>
  <si>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</si>
  <si>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</si>
  <si>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</si>
  <si>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</si>
  <si>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</si>
  <si>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</si>
  <si>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</si>
  <si>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</si>
  <si>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</si>
  <si>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</si>
  <si>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</si>
  <si>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</si>
  <si>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</si>
  <si>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</si>
  <si>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</si>
  <si>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</si>
  <si>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</si>
  <si>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</si>
  <si>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</si>
  <si>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</si>
  <si>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</si>
  <si>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</si>
  <si>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</si>
  <si>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</si>
  <si>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</si>
  <si>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</si>
  <si>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</si>
  <si>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</si>
  <si>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</si>
  <si>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</si>
  <si>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</si>
  <si>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</si>
  <si>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</si>
  <si>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</si>
  <si>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2.5% of revenue against depreciation of 1.9%.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</si>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</sst>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0.01964527241470515</v>
      </c>
    </row>
    <row r="7" spans="1:2" x14ac:dyDescent="0.25">
      <c r="A7" t="s">
        <v>4</v>
      </c>
      <c r="B7" s="5">
        <v>0.16582887928464923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0.018535185006182262</v>
      </c>
    </row>
    <row r="10" spans="1:3" x14ac:dyDescent="0.25">
      <c r="A10" t="s">
        <v>7</v>
      </c>
      <c r="B10" s="5">
        <v>0.02459953778124806</v>
      </c>
      <c r="C10" s="6" t="s">
        <v>8</v>
      </c>
    </row>
    <row r="11" spans="1:2" x14ac:dyDescent="0.25">
      <c r="A11" t="s">
        <v>9</v>
      </c>
      <c r="B11" s="5">
        <v>0.16340506945022856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12.928551468950749</v>
      </c>
    </row>
    <row r="14" spans="1:3" x14ac:dyDescent="0.25">
      <c r="A14" t="s">
        <v>12</v>
      </c>
      <c r="B14" s="5">
        <v>0.38636522107473337</v>
      </c>
      <c r="C14" s="6" t="s">
        <v>13</v>
      </c>
    </row>
    <row r="15" spans="1:3" x14ac:dyDescent="0.25">
      <c r="A15" t="s">
        <v>14</v>
      </c>
      <c r="B15" s="5">
        <v>0.013668884147106816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1.19497</v>
      </c>
      <c r="C19" s="6" t="s">
        <v>21</v>
      </c>
    </row>
    <row r="20" spans="1:2" x14ac:dyDescent="0.25">
      <c r="A20" t="s">
        <v>22</v>
      </c>
      <c r="B20" s="9">
        <f>B17+B19*B18</f>
        <v>0.09948723100000001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15544900608</v>
      </c>
    </row>
    <row r="23" spans="1:2" x14ac:dyDescent="0.25">
      <c r="A23" t="s">
        <v>26</v>
      </c>
      <c r="B23" s="10">
        <v>3215000000</v>
      </c>
    </row>
    <row r="24" spans="1:2" x14ac:dyDescent="0.25">
      <c r="A24" t="s">
        <v>27</v>
      </c>
      <c r="B24" s="9">
        <f>B22/(B22+B23)</f>
        <v>0.8286238255106219</v>
      </c>
    </row>
    <row r="25" spans="1:2" x14ac:dyDescent="0.25">
      <c r="A25" t="s">
        <v>28</v>
      </c>
      <c r="B25" s="9">
        <f>1-B24</f>
        <v>0.17137617448937814</v>
      </c>
    </row>
    <row r="26" spans="1:2" x14ac:dyDescent="0.25">
      <c r="A26" t="s">
        <v>29</v>
      </c>
      <c r="B26" s="11">
        <f>B24*B20+B25*B21*(1-B8)</f>
        <v>0.08960488713587841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7562000000</v>
      </c>
      <c r="C29" s="6" t="s">
        <v>32</v>
      </c>
    </row>
    <row r="30" spans="1:2" x14ac:dyDescent="0.25">
      <c r="A30" t="s">
        <v>33</v>
      </c>
      <c r="B30" s="10">
        <v>2568000000</v>
      </c>
    </row>
    <row r="31" spans="1:2" x14ac:dyDescent="0.25">
      <c r="A31" t="s">
        <v>34</v>
      </c>
      <c r="B31" s="12">
        <v>210000000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0.01964527241470515</v>
      </c>
      <c r="C5" s="5">
        <v>0.02106335488021882</v>
      </c>
      <c r="D5" s="5">
        <v>0.021555435520191468</v>
      </c>
      <c r="E5" s="5">
        <v>0.022047516160164114</v>
      </c>
      <c r="F5" s="5">
        <v>0.022539596800136764</v>
      </c>
      <c r="G5" s="5">
        <v>0.02303167744010941</v>
      </c>
      <c r="H5" s="5">
        <v>0.023523758080082058</v>
      </c>
      <c r="I5" s="5">
        <v>0.024015838720054708</v>
      </c>
      <c r="J5" s="5">
        <v>0.024507919360027355</v>
      </c>
      <c r="K5" s="5">
        <v>0.025</v>
      </c>
    </row>
    <row r="6" spans="1:11" x14ac:dyDescent="0.25">
      <c r="A6" t="s">
        <v>50</v>
      </c>
      <c r="B6" s="18">
        <f>Assumptions!B29*(1+B5)</f>
        <v>7710557550</v>
      </c>
      <c r="C6" s="18">
        <f>B6*(1+C5)</f>
        <v>7872967760.000001</v>
      </c>
      <c r="D6" s="18">
        <f>C6*(1+D5)</f>
        <v>8042673008.903227</v>
      </c>
      <c r="E6" s="18">
        <f>D6*(1+E5)</f>
        <v>8219993972.037936</v>
      </c>
      <c r="F6" s="18">
        <f>E6*(1+F5)</f>
        <v>8405269321.867226</v>
      </c>
      <c r="G6" s="18">
        <f>F6*(1+G5)</f>
        <v>8598856773.685719</v>
      </c>
      <c r="H6" s="18">
        <f>G6*(1+H5)</f>
        <v>8801134200.195175</v>
      </c>
      <c r="I6" s="18">
        <f>H6*(1+I5)</f>
        <v>9012500819.700619</v>
      </c>
      <c r="J6" s="18">
        <f>I6*(1+J5)</f>
        <v>9233378463.02202</v>
      </c>
      <c r="K6" s="18">
        <f>J6*(1+K5)</f>
        <v>9464212924.59757</v>
      </c>
    </row>
    <row r="7" spans="1:11" x14ac:dyDescent="0.25">
      <c r="A7" t="s">
        <v>4</v>
      </c>
      <c r="B7" s="9">
        <f>Assumptions!B7</f>
        <v>0.16582887928464923</v>
      </c>
      <c r="C7" s="9">
        <f>Assumptions!B7</f>
        <v>0.16582887928464923</v>
      </c>
      <c r="D7" s="9">
        <f>Assumptions!B7</f>
        <v>0.16582887928464923</v>
      </c>
      <c r="E7" s="9">
        <f>Assumptions!B7</f>
        <v>0.16582887928464923</v>
      </c>
      <c r="F7" s="9">
        <f>Assumptions!B7</f>
        <v>0.16582887928464923</v>
      </c>
      <c r="G7" s="9">
        <f>Assumptions!B7</f>
        <v>0.16582887928464923</v>
      </c>
      <c r="H7" s="9">
        <f>Assumptions!B7</f>
        <v>0.16582887928464923</v>
      </c>
      <c r="I7" s="9">
        <f>Assumptions!B7</f>
        <v>0.16582887928464923</v>
      </c>
      <c r="J7" s="9">
        <f>Assumptions!B7</f>
        <v>0.16582887928464923</v>
      </c>
      <c r="K7" s="9">
        <f>Assumptions!B7</f>
        <v>0.16582887928464923</v>
      </c>
    </row>
    <row r="8" spans="1:11" x14ac:dyDescent="0.25">
      <c r="A8" t="s">
        <v>51</v>
      </c>
      <c r="B8" s="18">
        <f>B6*B7</f>
        <v>1278633117.1762908</v>
      </c>
      <c r="C8" s="18">
        <f>C6*C7</f>
        <v>1305565420.2849755</v>
      </c>
      <c r="D8" s="18">
        <f>D6*D7</f>
        <v>1333707451.5193198</v>
      </c>
      <c r="E8" s="18">
        <f>E6*E7</f>
        <v>1363112388.1096232</v>
      </c>
      <c r="F8" s="18">
        <f>F6*F7</f>
        <v>1393836391.7308857</v>
      </c>
      <c r="G8" s="18">
        <f>G6*G7</f>
        <v>1425938781.9095173</v>
      </c>
      <c r="H8" s="18">
        <f>H6*H7</f>
        <v>1459482220.8521636</v>
      </c>
      <c r="I8" s="18">
        <f>I6*I7</f>
        <v>1494532910.4829361</v>
      </c>
      <c r="J8" s="18">
        <f>J6*J7</f>
        <v>1531160802.5339587</v>
      </c>
      <c r="K8" s="18">
        <f>K6*K7</f>
        <v>1569439822.5973077</v>
      </c>
    </row>
    <row r="9" spans="1:11" x14ac:dyDescent="0.25">
      <c r="A9" t="s">
        <v>52</v>
      </c>
      <c r="B9" s="18">
        <f>B8*(1-Assumptions!B8)</f>
        <v>1010120162.5692698</v>
      </c>
      <c r="C9" s="18">
        <f>C8*(1-Assumptions!B8)</f>
        <v>1031396682.0251307</v>
      </c>
      <c r="D9" s="18">
        <f>D8*(1-Assumptions!B8)</f>
        <v>1053628886.7002627</v>
      </c>
      <c r="E9" s="18">
        <f>E8*(1-Assumptions!B8)</f>
        <v>1076858786.6066024</v>
      </c>
      <c r="F9" s="18">
        <f>F8*(1-Assumptions!B8)</f>
        <v>1101130749.4673998</v>
      </c>
      <c r="G9" s="18">
        <f>G8*(1-Assumptions!B8)</f>
        <v>1126491637.7085187</v>
      </c>
      <c r="H9" s="18">
        <f>H8*(1-Assumptions!B8)</f>
        <v>1152990954.4732091</v>
      </c>
      <c r="I9" s="18">
        <f>I8*(1-Assumptions!B8)</f>
        <v>1180680999.2815197</v>
      </c>
      <c r="J9" s="18">
        <f>J8*(1-Assumptions!B8)</f>
        <v>1209617034.0018275</v>
      </c>
      <c r="K9" s="18">
        <f>K8*(1-Assumptions!B8)</f>
        <v>1239857459.8518732</v>
      </c>
    </row>
    <row r="10" spans="1:11" x14ac:dyDescent="0.25">
      <c r="A10" t="s">
        <v>53</v>
      </c>
      <c r="B10" s="18">
        <f>B6*Assumptions!B9</f>
        <v>142916610.69006544</v>
      </c>
      <c r="C10" s="18">
        <f>C6*Assumptions!B9</f>
        <v>145926913.97930837</v>
      </c>
      <c r="D10" s="18">
        <f>D6*Assumptions!B9</f>
        <v>149072432.16424987</v>
      </c>
      <c r="E10" s="18">
        <f>E6*Assumptions!B9</f>
        <v>152359109.02142614</v>
      </c>
      <c r="F10" s="18">
        <f>F6*Assumptions!B9</f>
        <v>155793221.90759715</v>
      </c>
      <c r="G10" s="18">
        <f>G6*Assumptions!B9</f>
        <v>159381401.14192832</v>
      </c>
      <c r="H10" s="18">
        <f>H6*Assumptions!B9</f>
        <v>163130650.66485554</v>
      </c>
      <c r="I10" s="18">
        <f>I6*Assumptions!B9</f>
        <v>167048370.06152025</v>
      </c>
      <c r="J10" s="18">
        <f>J6*Assumptions!B9</f>
        <v>171142378.04421198</v>
      </c>
      <c r="K10" s="18">
        <f>K6*Assumptions!B9</f>
        <v>175420937.49531725</v>
      </c>
    </row>
    <row r="11" spans="1:11" x14ac:dyDescent="0.25">
      <c r="A11" t="s">
        <v>54</v>
      </c>
      <c r="B11" s="18">
        <f>-B6*B19</f>
        <v>-189676151.76571247</v>
      </c>
      <c r="C11" s="18">
        <f>-C6*C19</f>
        <v>-191742356.52783224</v>
      </c>
      <c r="D11" s="18">
        <f>-D6*D19</f>
        <v>-193904854.51617602</v>
      </c>
      <c r="E11" s="18">
        <f>-E6*E19</f>
        <v>-196165936.25609425</v>
      </c>
      <c r="F11" s="18">
        <f>-F6*F19</f>
        <v>-198528003.07202452</v>
      </c>
      <c r="G11" s="18">
        <f>-G6*G19</f>
        <v>-200993569.4820549</v>
      </c>
      <c r="H11" s="18">
        <f>-H6*H19</f>
        <v>-203565265.64833632</v>
      </c>
      <c r="I11" s="18">
        <f>-I6*I19</f>
        <v>-206245839.87371808</v>
      </c>
      <c r="J11" s="18">
        <f>-J6*J19</f>
        <v>-209038161.13368595</v>
      </c>
      <c r="K11" s="18">
        <f>-K6*K19</f>
        <v>-211945221.63122982</v>
      </c>
    </row>
    <row r="12" spans="1:11" x14ac:dyDescent="0.25">
      <c r="A12" t="s">
        <v>55</v>
      </c>
      <c r="B12" s="18">
        <f>-(B6-Assumptions!B29)*Assumptions!B11</f>
        <v>-24275056.7751058</v>
      </c>
      <c r="C12" s="18">
        <f>-(C6-B6)*Assumptions!B11</f>
        <v>-26538651.64447636</v>
      </c>
      <c r="D12" s="18">
        <f>-(D6-C6)*Assumptions!B11</f>
        <v>-27730697.983099952</v>
      </c>
      <c r="E12" s="18">
        <f>-(E6-D6)*Assumptions!B11</f>
        <v>-28975144.2960086</v>
      </c>
      <c r="F12" s="18">
        <f>-(F6-E6)*Assumptions!B11</f>
        <v>-30274931.406270433</v>
      </c>
      <c r="G12" s="18">
        <f>-(G6-F6)*Assumptions!B11</f>
        <v>-31633171.009093605</v>
      </c>
      <c r="H12" s="18">
        <f>-(H6-G6)*Assumptions!B11</f>
        <v>-33053156.926991265</v>
      </c>
      <c r="I12" s="18">
        <f>-(I6-H6)*Assumptions!B11</f>
        <v>-34538377.139747046</v>
      </c>
      <c r="J12" s="18">
        <f>-(J6-I6)*Assumptions!B11</f>
        <v>-36092526.64693644</v>
      </c>
      <c r="K12" s="18">
        <f>-(K6-J6)*Assumptions!B11</f>
        <v>-37719521.22525888</v>
      </c>
    </row>
    <row r="13" spans="1:11" x14ac:dyDescent="0.25">
      <c r="A13" s="19" t="s">
        <v>56</v>
      </c>
      <c r="B13" s="20">
        <f>B9+B10+B11+B12</f>
        <v>939085564.718517</v>
      </c>
      <c r="C13" s="20">
        <f>C9+C10+C11+C12</f>
        <v>959042587.8321304</v>
      </c>
      <c r="D13" s="20">
        <f>D9+D10+D11+D12</f>
        <v>981065766.3652365</v>
      </c>
      <c r="E13" s="20">
        <f>E9+E10+E11+E12</f>
        <v>1004076815.0759258</v>
      </c>
      <c r="F13" s="20">
        <f>F9+F10+F11+F12</f>
        <v>1028121036.8967019</v>
      </c>
      <c r="G13" s="20">
        <f>G9+G10+G11+G12</f>
        <v>1053246298.3592986</v>
      </c>
      <c r="H13" s="20">
        <f>H9+H10+H11+H12</f>
        <v>1079503182.562737</v>
      </c>
      <c r="I13" s="20">
        <f>I9+I10+I11+I12</f>
        <v>1106945152.3295748</v>
      </c>
      <c r="J13" s="20">
        <f>J9+J10+J11+J12</f>
        <v>1135628724.265417</v>
      </c>
      <c r="K13" s="20">
        <f>K9+K10+K11+K12</f>
        <v>1165613654.4907017</v>
      </c>
    </row>
    <row r="14" spans="1:11" x14ac:dyDescent="0.25">
      <c r="A14" t="s">
        <v>57</v>
      </c>
      <c r="B14" s="21">
        <f>1/(1+Assumptions!$B$26)^(1-0.5*Assumptions!$B$32)</f>
        <v>0.9579999331137058</v>
      </c>
      <c r="C14" s="21">
        <f>1/(1+Assumptions!$B$26)^(2-0.5*Assumptions!$B$32)</f>
        <v>0.8792177278425138</v>
      </c>
      <c r="D14" s="21">
        <f>1/(1+Assumptions!$B$26)^(3-0.5*Assumptions!$B$32)</f>
        <v>0.8069142661002692</v>
      </c>
      <c r="E14" s="21">
        <f>1/(1+Assumptions!$B$26)^(4-0.5*Assumptions!$B$32)</f>
        <v>0.7405567611038473</v>
      </c>
      <c r="F14" s="21">
        <f>1/(1+Assumptions!$B$26)^(5-0.5*Assumptions!$B$32)</f>
        <v>0.6796562403922999</v>
      </c>
      <c r="G14" s="21">
        <f>1/(1+Assumptions!$B$26)^(6-0.5*Assumptions!$B$32)</f>
        <v>0.6237639427066408</v>
      </c>
      <c r="H14" s="21">
        <f>1/(1+Assumptions!$B$26)^(7-0.5*Assumptions!$B$32)</f>
        <v>0.5724680111762888</v>
      </c>
      <c r="I14" s="21">
        <f>1/(1+Assumptions!$B$26)^(8-0.5*Assumptions!$B$32)</f>
        <v>0.5253904584450525</v>
      </c>
      <c r="J14" s="21">
        <f>1/(1+Assumptions!$B$26)^(9-0.5*Assumptions!$B$32)</f>
        <v>0.48218438137340514</v>
      </c>
      <c r="K14" s="21">
        <f>1/(1+Assumptions!$B$26)^(10-0.5*Assumptions!$B$32)</f>
        <v>0.4425314047928593</v>
      </c>
    </row>
    <row r="15" spans="1:11" x14ac:dyDescent="0.25">
      <c r="A15" s="19" t="s">
        <v>58</v>
      </c>
      <c r="B15" s="20">
        <f>B13*B14</f>
        <v>899643908.1883858</v>
      </c>
      <c r="C15" s="20">
        <f>C13*C14</f>
        <v>843207244.9779702</v>
      </c>
      <c r="D15" s="20">
        <f>D13*D14</f>
        <v>791635962.862703</v>
      </c>
      <c r="E15" s="20">
        <f>E13*E14</f>
        <v>743575874.0720942</v>
      </c>
      <c r="F15" s="20">
        <f>F13*F14</f>
        <v>698768878.6054455</v>
      </c>
      <c r="G15" s="20">
        <f>G13*G14</f>
        <v>656977063.7057711</v>
      </c>
      <c r="H15" s="20">
        <f>H13*H14</f>
        <v>617981039.9801642</v>
      </c>
      <c r="I15" s="20">
        <f>I13*I14</f>
        <v>581578421.0559638</v>
      </c>
      <c r="J15" s="20">
        <f>J13*J14</f>
        <v>547582433.8797895</v>
      </c>
      <c r="K15" s="20">
        <f>K13*K14</f>
        <v>515820647.96750873</v>
      </c>
    </row>
    <row r="17" spans="1:2" x14ac:dyDescent="0.25">
      <c r="A17" s="22" t="s">
        <v>59</v>
      </c>
      <c r="B17" s="23">
        <f>SUM(B15:K15)</f>
        <v>6896771475.295795</v>
      </c>
    </row>
    <row r="19" spans="1:11" x14ac:dyDescent="0.25">
      <c r="A19" t="s">
        <v>7</v>
      </c>
      <c r="B19" s="9">
        <f>Assumptions!$B$10+($B$20-Assumptions!$B$10)*0/9</f>
        <v>0.02459953778124806</v>
      </c>
      <c r="C19" s="9">
        <f>Assumptions!$B$10+($B$20-Assumptions!$B$10)*1/9</f>
        <v>0.024354520731307075</v>
      </c>
      <c r="D19" s="9">
        <f>Assumptions!$B$10+($B$20-Assumptions!$B$10)*2/9</f>
        <v>0.024109503681366086</v>
      </c>
      <c r="E19" s="9">
        <f>Assumptions!$B$10+($B$20-Assumptions!$B$10)*3/9</f>
        <v>0.0238644866314251</v>
      </c>
      <c r="F19" s="9">
        <f>Assumptions!$B$10+($B$20-Assumptions!$B$10)*4/9</f>
        <v>0.02361946958148411</v>
      </c>
      <c r="G19" s="9">
        <f>Assumptions!$B$10+($B$20-Assumptions!$B$10)*5/9</f>
        <v>0.023374452531543126</v>
      </c>
      <c r="H19" s="9">
        <f>Assumptions!$B$10+($B$20-Assumptions!$B$10)*6/9</f>
        <v>0.023129435481602137</v>
      </c>
      <c r="I19" s="9">
        <f>Assumptions!$B$10+($B$20-Assumptions!$B$10)*7/9</f>
        <v>0.02288441843166115</v>
      </c>
      <c r="J19" s="9">
        <f>Assumptions!$B$10+($B$20-Assumptions!$B$10)*8/9</f>
        <v>0.022639401381720166</v>
      </c>
      <c r="K19" s="9">
        <f>Assumptions!$B$10+($B$20-Assumptions!$B$10)*9/9</f>
        <v>0.022394384331779177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0.022394384331779177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1165613654.4907017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1276241468.7653725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0.06470561695604671</v>
      </c>
    </row>
    <row r="7" spans="1:2" x14ac:dyDescent="0.25">
      <c r="A7" t="s">
        <v>66</v>
      </c>
      <c r="B7" s="18">
        <f>-MAX(B5,0)*B6</f>
        <v>-82579991.62135464</v>
      </c>
    </row>
    <row r="8" spans="1:2" x14ac:dyDescent="0.25">
      <c r="A8" t="s">
        <v>67</v>
      </c>
      <c r="B8" s="18">
        <f>IF(OR(Assumptions!$B$33=0,Assumptions!B12&lt;=0),B5,MAX(B5+B7,0))</f>
        <v>1193661477.144018</v>
      </c>
    </row>
    <row r="9" spans="1:2" x14ac:dyDescent="0.25">
      <c r="A9" t="s">
        <v>68</v>
      </c>
      <c r="B9" s="18">
        <f>B8*(1+Assumptions!B12)/(Assumptions!B26-Assumptions!B12)</f>
        <v>18938242419.638004</v>
      </c>
    </row>
    <row r="10" spans="1:2" x14ac:dyDescent="0.25">
      <c r="A10" t="s">
        <v>69</v>
      </c>
      <c r="B10" s="18">
        <f>B9/(1+Assumptions!B26)^(10-0.5*Assumptions!B32)</f>
        <v>8380767022.270124</v>
      </c>
    </row>
    <row r="11" spans="1:2" x14ac:dyDescent="0.25">
      <c r="A11" t="s">
        <v>70</v>
      </c>
      <c r="B11" s="18">
        <f>Forecast!B17+B10</f>
        <v>15277538497.56592</v>
      </c>
    </row>
    <row r="12" spans="1:2" x14ac:dyDescent="0.25">
      <c r="A12" t="s">
        <v>71</v>
      </c>
      <c r="B12" s="18">
        <f>-Assumptions!B30</f>
        <v>-2568000000</v>
      </c>
    </row>
    <row r="13" spans="1:2" x14ac:dyDescent="0.25">
      <c r="A13" t="s">
        <v>72</v>
      </c>
      <c r="B13" s="18">
        <f>B11+B12</f>
        <v>12709538497.56592</v>
      </c>
    </row>
    <row r="14" spans="1:2" x14ac:dyDescent="0.25">
      <c r="A14" s="19" t="s">
        <v>73</v>
      </c>
      <c r="B14" s="24">
        <f>B13/Assumptions!B31</f>
        <v>60.52161189317105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1744860760.092625</v>
      </c>
    </row>
    <row r="18" spans="1:2" x14ac:dyDescent="0.25">
      <c r="A18" t="s">
        <v>68</v>
      </c>
      <c r="B18" s="18">
        <f>B17*Assumptions!B13</f>
        <v>22558522143.010025</v>
      </c>
    </row>
    <row r="19" spans="1:2" x14ac:dyDescent="0.25">
      <c r="A19" t="s">
        <v>69</v>
      </c>
      <c r="B19" s="18">
        <f>B18/(1+Assumptions!B26)^(10-0.5*Assumptions!B32)</f>
        <v>9982854493.99705</v>
      </c>
    </row>
    <row r="20" spans="1:2" x14ac:dyDescent="0.25">
      <c r="A20" t="s">
        <v>70</v>
      </c>
      <c r="B20" s="18">
        <f>Forecast!B17+B19</f>
        <v>16879625969.292845</v>
      </c>
    </row>
    <row r="21" spans="1:2" x14ac:dyDescent="0.25">
      <c r="A21" t="s">
        <v>71</v>
      </c>
      <c r="B21" s="18">
        <f>-Assumptions!B30</f>
        <v>-2568000000</v>
      </c>
    </row>
    <row r="22" spans="1:2" x14ac:dyDescent="0.25">
      <c r="A22" t="s">
        <v>72</v>
      </c>
      <c r="B22" s="18">
        <f>B20+B21</f>
        <v>14311625969.292845</v>
      </c>
    </row>
    <row r="23" spans="1:2" x14ac:dyDescent="0.25">
      <c r="A23" s="19" t="s">
        <v>73</v>
      </c>
      <c r="B23" s="25">
        <f>B22/Assumptions!B31</f>
        <v>68.15059985377545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80.64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60.52161189317105</v>
      </c>
    </row>
    <row r="29" spans="1:2" x14ac:dyDescent="0.25">
      <c r="A29" s="19" t="s">
        <v>81</v>
      </c>
      <c r="B29" s="11">
        <f>B28/B26-1</f>
        <v>-0.24948397949936696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0.069605</v>
      </c>
      <c r="B5" s="31">
        <v>81.27840491887999</v>
      </c>
      <c r="C5" s="31">
        <v>86.27688932298598</v>
      </c>
      <c r="D5" s="31">
        <v>92.43916650049358</v>
      </c>
      <c r="E5" s="31">
        <v>100.20601139398651</v>
      </c>
      <c r="F5" s="31">
        <v>110.27294533679171</v>
      </c>
    </row>
    <row r="6" spans="1:6" x14ac:dyDescent="0.25">
      <c r="A6" s="30">
        <v>0.079605</v>
      </c>
      <c r="B6" s="31">
        <v>66.7847162666178</v>
      </c>
      <c r="C6" s="31">
        <v>69.86977805004757</v>
      </c>
      <c r="D6" s="31">
        <v>73.55318501956026</v>
      </c>
      <c r="E6" s="31">
        <v>78.01587010109569</v>
      </c>
      <c r="F6" s="31">
        <v>83.51989296689555</v>
      </c>
    </row>
    <row r="7" spans="1:6" x14ac:dyDescent="0.25">
      <c r="A7" s="30">
        <v>0.089605</v>
      </c>
      <c r="B7" s="31">
        <v>56.19667532117143</v>
      </c>
      <c r="C7" s="31">
        <v>58.19135582136749</v>
      </c>
      <c r="D7" s="32">
        <v>60.52148761788194</v>
      </c>
      <c r="E7" s="31">
        <v>63.2714892904443</v>
      </c>
      <c r="F7" s="31">
        <v>66.5566991439848</v>
      </c>
    </row>
    <row r="8" spans="1:6" x14ac:dyDescent="0.25">
      <c r="A8" s="30">
        <v>0.099605</v>
      </c>
      <c r="B8" s="31">
        <v>48.127792668926666</v>
      </c>
      <c r="C8" s="31">
        <v>49.458353562663376</v>
      </c>
      <c r="D8" s="31">
        <v>50.98917165206497</v>
      </c>
      <c r="E8" s="31">
        <v>52.76340271523608</v>
      </c>
      <c r="F8" s="31">
        <v>54.83756241824811</v>
      </c>
    </row>
    <row r="9" spans="1:6" x14ac:dyDescent="0.25">
      <c r="A9" s="30">
        <v>0.109605</v>
      </c>
      <c r="B9" s="31">
        <v>41.777938961421924</v>
      </c>
      <c r="C9" s="31">
        <v>42.68366868684916</v>
      </c>
      <c r="D9" s="31">
        <v>43.714774697312336</v>
      </c>
      <c r="E9" s="31">
        <v>44.89488169321393</v>
      </c>
      <c r="F9" s="31">
        <v>46.253947650313975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7562000000</v>
      </c>
      <c r="C5" s="18">
        <v>7828000000</v>
      </c>
      <c r="D5" s="18">
        <v>7967000000</v>
      </c>
      <c r="E5" s="18">
        <v>8680000000</v>
      </c>
      <c r="F5" s="6" t="s">
        <v>91</v>
      </c>
    </row>
    <row r="6" spans="1:6" x14ac:dyDescent="0.25">
      <c r="A6" t="s">
        <v>51</v>
      </c>
      <c r="B6" s="18">
        <v>1253000000</v>
      </c>
      <c r="C6" s="18">
        <v>1363000000</v>
      </c>
      <c r="D6" s="18">
        <v>1363000000</v>
      </c>
      <c r="E6" s="18">
        <v>1323000000</v>
      </c>
      <c r="F6" s="6" t="s">
        <v>92</v>
      </c>
    </row>
    <row r="7" spans="1:6" x14ac:dyDescent="0.25">
      <c r="A7" t="s">
        <v>93</v>
      </c>
      <c r="B7" s="18">
        <v>148000000</v>
      </c>
      <c r="C7" s="18">
        <v>150000000</v>
      </c>
      <c r="D7" s="18">
        <v>149000000</v>
      </c>
      <c r="E7" s="18">
        <v>145000000</v>
      </c>
      <c r="F7" s="6" t="s">
        <v>94</v>
      </c>
    </row>
    <row r="8" spans="1:6" x14ac:dyDescent="0.25">
      <c r="A8" t="s">
        <v>95</v>
      </c>
      <c r="B8" s="18">
        <v>156000000</v>
      </c>
      <c r="C8" s="18">
        <v>168000000</v>
      </c>
      <c r="D8" s="18">
        <v>243000000</v>
      </c>
      <c r="E8" s="18">
        <v>224000000</v>
      </c>
      <c r="F8" s="6" t="s">
        <v>96</v>
      </c>
    </row>
    <row r="9" spans="1:6" x14ac:dyDescent="0.25">
      <c r="A9" t="s">
        <v>97</v>
      </c>
      <c r="B9" s="18">
        <v>76000000</v>
      </c>
      <c r="C9" s="18">
        <v>130000000</v>
      </c>
      <c r="D9" s="18">
        <v>-241000000</v>
      </c>
      <c r="E9" s="18">
        <v>283000000</v>
      </c>
      <c r="F9" s="6" t="s">
        <v>98</v>
      </c>
    </row>
    <row r="10" spans="1:6" x14ac:dyDescent="0.25">
      <c r="A10" t="s">
        <v>99</v>
      </c>
      <c r="B10" s="18">
        <v>3215000000</v>
      </c>
      <c r="C10" s="18">
        <v>3214000000</v>
      </c>
      <c r="D10" s="18">
        <v>3251000000</v>
      </c>
      <c r="E10" s="18">
        <v>3445000000</v>
      </c>
      <c r="F10" s="6" t="s">
        <v>100</v>
      </c>
    </row>
    <row r="11" spans="1:6" x14ac:dyDescent="0.25">
      <c r="A11" t="s">
        <v>101</v>
      </c>
      <c r="B11" s="18">
        <v>647000000</v>
      </c>
      <c r="C11" s="18">
        <v>634000000</v>
      </c>
      <c r="D11" s="18">
        <v>634000000</v>
      </c>
      <c r="E11" s="18">
        <v>452000000</v>
      </c>
      <c r="F11" s="6" t="s">
        <v>102</v>
      </c>
    </row>
    <row r="12" spans="1:6" x14ac:dyDescent="0.25">
      <c r="A12" t="s">
        <v>34</v>
      </c>
      <c r="B12" s="34">
        <v>210000000</v>
      </c>
      <c r="C12" s="34">
        <v>219000000</v>
      </c>
      <c r="D12" s="34">
        <v>226000000</v>
      </c>
      <c r="E12" s="34">
        <v>232000000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