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<sst xmlns="http://schemas.openxmlformats.org/spreadsheetml/2006/main" count="112" uniqueCount="100">
  <si>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Masco Corporation (MAS)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</si>
  <si>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</si>
  <si>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</si>
  <si>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</si>
  <si>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</si>
  <si>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</si>
  <si>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</si>
  <si>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</si>
  <si>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</si>
  <si>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</si>
  <si>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</si>
  <si>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</si>
  <si>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</si>
  <si>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</si>
  <si>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</si>
  <si>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</si>
  <si>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</si>
  <si>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</si>
  <si>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</si>
  <si>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</si>
  <si>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</si>
  <si>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</si>
  <si>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</si>
  <si>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</si>
  <si>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</si>
  <si>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</si>
  <si>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</si>
  <si>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</si>
  <si>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</si>
  <si>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</si>
  <si>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</si>
  <si>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</si>
  <si>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</si>
  <si>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</si>
  <si>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</si>
  <si>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</si>
  <si>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</si>
  <si>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</si>
  <si>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</si>
  <si>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</si>
  <si>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</si>
  <si>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</si>
  <si>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</si>
  <si>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</si>
  <si>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</si>
  <si>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</si>
  <si>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</si>
  <si>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</si>
  <si>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</si>
  <si>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</si>
  <si>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</si>
  <si>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</si>
  <si>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</si>
  <si>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</si>
  <si>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</si>
  <si>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</si>
  <si>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</si>
  <si>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</si>
  <si>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</si>
  <si>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</si>
  <si>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</si>
  <si>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</si>
  <si>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</si>
  <si>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</si>
  <si>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</si>
  <si>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</si>
  <si>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</si>
  <si>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</si>
  <si>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</si>
  <si>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</si>
  <si>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</si>
  <si>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</si>
  <si>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</si>
  <si>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</si>
  <si>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</si>
  <si>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</si>
  <si>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</si>
  <si>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</si>
  <si>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</si>
  <si>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</si>
  <si>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</si>
  <si>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</si>
  <si>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</si>
  <si>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</si>
  <si>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</si>
  <si>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</si>
  <si>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</si>
  <si>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</si>
  <si>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</si>
  <si>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</si>
  <si>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</si>
  <si>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</si>
  <si>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</si>
  <si>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</si>
  <si>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</si>
  <si>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</si>
  <si>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</si>
  <si>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</si>
  <si>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2.5% of revenue against depreciation of 1.9%.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</si>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</sst>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-0.04492168924034623</v>
      </c>
    </row>
    <row r="7" spans="1:2" x14ac:dyDescent="0.25">
      <c r="A7" t="s">
        <v>5</v>
      </c>
      <c r="B7" s="6">
        <v>0.16582887928464923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0.018535185006182262</v>
      </c>
    </row>
    <row r="10" spans="1:2" x14ac:dyDescent="0.25">
      <c r="A10" t="s">
        <v>8</v>
      </c>
      <c r="B10" s="6">
        <v>0.02459953778124806</v>
      </c>
    </row>
    <row r="11" spans="1:2" x14ac:dyDescent="0.25">
      <c r="A11" t="s">
        <v>9</v>
      </c>
      <c r="B11" s="6">
        <v>-0.2857142857142857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11.412259631691649</v>
      </c>
    </row>
    <row r="14" spans="1:3" x14ac:dyDescent="0.25">
      <c r="A14" t="s">
        <v>12</v>
      </c>
      <c r="B14" s="6">
        <v>0.38636522107473337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1.19698</v>
      </c>
      <c r="C19" s="8" t="s">
        <v>19</v>
      </c>
    </row>
    <row r="20" spans="1:2" x14ac:dyDescent="0.25">
      <c r="A20" t="s">
        <v>20</v>
      </c>
      <c r="B20" s="10">
        <f>B17+B19*B18</f>
        <v>0.1158139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13420575744</v>
      </c>
    </row>
    <row r="23" spans="1:2" x14ac:dyDescent="0.25">
      <c r="A23" t="s">
        <v>24</v>
      </c>
      <c r="B23" s="11">
        <v>3215000000</v>
      </c>
    </row>
    <row r="24" spans="1:2" x14ac:dyDescent="0.25">
      <c r="A24" t="s">
        <v>25</v>
      </c>
      <c r="B24" s="10">
        <f>B22/(B22+B23)</f>
        <v>0.806739481129196</v>
      </c>
    </row>
    <row r="25" spans="1:2" x14ac:dyDescent="0.25">
      <c r="A25" t="s">
        <v>26</v>
      </c>
      <c r="B25" s="10">
        <f>1-B24</f>
        <v>0.19326051887080398</v>
      </c>
    </row>
    <row r="26" spans="1:2" x14ac:dyDescent="0.25">
      <c r="A26" t="s">
        <v>27</v>
      </c>
      <c r="B26" s="12">
        <f>B24*B20+B25*B21*(1-B8)</f>
        <v>0.10106238257274719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7562000000</v>
      </c>
      <c r="C29" s="8" t="s">
        <v>30</v>
      </c>
    </row>
    <row r="30" spans="1:2" x14ac:dyDescent="0.25">
      <c r="A30" t="s">
        <v>31</v>
      </c>
      <c r="B30" s="11">
        <v>2568000000</v>
      </c>
    </row>
    <row r="31" spans="1:2" x14ac:dyDescent="0.25">
      <c r="A31" t="s">
        <v>32</v>
      </c>
      <c r="B31" s="13">
        <v>210000000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-0.04492168924034623</v>
      </c>
      <c r="C5" s="10">
        <f>Assumptions!B6</f>
        <v>-0.04492168924034623</v>
      </c>
      <c r="D5" s="10">
        <f>Assumptions!B6</f>
        <v>-0.04492168924034623</v>
      </c>
      <c r="E5" s="10">
        <f>Assumptions!B6</f>
        <v>-0.04492168924034623</v>
      </c>
      <c r="F5" s="10">
        <f>Assumptions!B6</f>
        <v>-0.04492168924034623</v>
      </c>
    </row>
    <row r="6" spans="1:6" x14ac:dyDescent="0.25">
      <c r="A6" t="s">
        <v>43</v>
      </c>
      <c r="B6" s="18">
        <f>Assumptions!B29*(1+B5)</f>
        <v>7222302185.964501</v>
      </c>
      <c r="C6" s="18">
        <f>B6*(1+C5)</f>
        <v>6897864171.5667305</v>
      </c>
      <c r="D6" s="18">
        <f>C6*(1+D5)</f>
        <v>6588000460.829492</v>
      </c>
      <c r="E6" s="18">
        <f>D6*(1+E5)</f>
        <v>6292056351.412851</v>
      </c>
      <c r="F6" s="18">
        <f>E6*(1+F5)</f>
        <v>6009406551.311936</v>
      </c>
    </row>
    <row r="7" spans="1:6" x14ac:dyDescent="0.25">
      <c r="A7" t="s">
        <v>5</v>
      </c>
      <c r="B7" s="10">
        <f>Assumptions!B7</f>
        <v>0.16582887928464923</v>
      </c>
      <c r="C7" s="10">
        <f>Assumptions!B7</f>
        <v>0.16582887928464923</v>
      </c>
      <c r="D7" s="10">
        <f>Assumptions!B7</f>
        <v>0.16582887928464923</v>
      </c>
      <c r="E7" s="10">
        <f>Assumptions!B7</f>
        <v>0.16582887928464923</v>
      </c>
      <c r="F7" s="10">
        <f>Assumptions!B7</f>
        <v>0.16582887928464923</v>
      </c>
    </row>
    <row r="8" spans="1:6" x14ac:dyDescent="0.25">
      <c r="A8" t="s">
        <v>44</v>
      </c>
      <c r="B8" s="18">
        <f>B6*B7</f>
        <v>1197666277.3535657</v>
      </c>
      <c r="C8" s="18">
        <f>C6*C7</f>
        <v>1143865085.0286462</v>
      </c>
      <c r="D8" s="18">
        <f>D6*D7</f>
        <v>1092480733.1461072</v>
      </c>
      <c r="E8" s="18">
        <f>E6*E7</f>
        <v>1043404653.1506522</v>
      </c>
      <c r="F8" s="18">
        <f>F6*F7</f>
        <v>996533153.5698874</v>
      </c>
    </row>
    <row r="9" spans="1:6" x14ac:dyDescent="0.25">
      <c r="A9" t="s">
        <v>45</v>
      </c>
      <c r="B9" s="18">
        <f>B8*(1-Assumptions!B8)</f>
        <v>946156359.109317</v>
      </c>
      <c r="C9" s="18">
        <f>C8*(1-Assumptions!B8)</f>
        <v>903653417.1726305</v>
      </c>
      <c r="D9" s="18">
        <f>D8*(1-Assumptions!B8)</f>
        <v>863059779.1854247</v>
      </c>
      <c r="E9" s="18">
        <f>E8*(1-Assumptions!B8)</f>
        <v>824289675.9890152</v>
      </c>
      <c r="F9" s="18">
        <f>F8*(1-Assumptions!B8)</f>
        <v>787261191.320211</v>
      </c>
    </row>
    <row r="10" spans="1:6" x14ac:dyDescent="0.25">
      <c r="A10" t="s">
        <v>46</v>
      </c>
      <c r="B10" s="18">
        <f>B6*Assumptions!B9</f>
        <v>133866707.1874066</v>
      </c>
      <c r="C10" s="18">
        <f>C6*Assumptions!B9</f>
        <v>127853188.5675055</v>
      </c>
      <c r="D10" s="18">
        <f>D6*Assumptions!B9</f>
        <v>122109807.36228862</v>
      </c>
      <c r="E10" s="18">
        <f>E6*Assumptions!B9</f>
        <v>116624428.54276136</v>
      </c>
      <c r="F10" s="18">
        <f>F6*Assumptions!B9</f>
        <v>111385462.20593046</v>
      </c>
    </row>
    <row r="11" spans="1:6" x14ac:dyDescent="0.25">
      <c r="A11" t="s">
        <v>47</v>
      </c>
      <c r="B11" s="18">
        <f>-B6*Assumptions!B10</f>
        <v>-177665295.4912242</v>
      </c>
      <c r="C11" s="18">
        <f>-C6*Assumptions!B10</f>
        <v>-169684270.29837313</v>
      </c>
      <c r="D11" s="18">
        <f>-D6*Assumptions!B10</f>
        <v>-162061766.2390547</v>
      </c>
      <c r="E11" s="18">
        <f>-E6*Assumptions!B10</f>
        <v>-154781677.93832225</v>
      </c>
      <c r="F11" s="18">
        <f>-F6*Assumptions!B10</f>
        <v>-147828623.50187758</v>
      </c>
    </row>
    <row r="12" spans="1:6" x14ac:dyDescent="0.25">
      <c r="A12" t="s">
        <v>48</v>
      </c>
      <c r="B12" s="18">
        <f>-(B6-Assumptions!B29)*Assumptions!B11</f>
        <v>-97056518.29585674</v>
      </c>
      <c r="C12" s="18">
        <f>-(C6-B6)*Assumptions!B11</f>
        <v>-92696575.54222025</v>
      </c>
      <c r="D12" s="18">
        <f>-(D6-C6)*Assumptions!B11</f>
        <v>-88532488.78206825</v>
      </c>
      <c r="E12" s="18">
        <f>-(E6-D6)*Assumptions!B11</f>
        <v>-84555459.83332579</v>
      </c>
      <c r="F12" s="18">
        <f>-(F6-E6)*Assumptions!B11</f>
        <v>-80757085.74311855</v>
      </c>
    </row>
    <row r="13" spans="1:6" x14ac:dyDescent="0.25">
      <c r="A13" s="19" t="s">
        <v>49</v>
      </c>
      <c r="B13" s="20">
        <f>B9+B10+B11+B12</f>
        <v>805301252.5096427</v>
      </c>
      <c r="C13" s="20">
        <f>C9+C10+C11+C12</f>
        <v>769125759.8995427</v>
      </c>
      <c r="D13" s="20">
        <f>D9+D10+D11+D12</f>
        <v>734575331.5265903</v>
      </c>
      <c r="E13" s="20">
        <f>E9+E10+E11+E12</f>
        <v>701576966.7601286</v>
      </c>
      <c r="F13" s="20">
        <f>F9+F10+F11+F12</f>
        <v>670060944.2811455</v>
      </c>
    </row>
    <row r="14" spans="1:6" x14ac:dyDescent="0.25">
      <c r="A14" t="s">
        <v>50</v>
      </c>
      <c r="B14" s="21">
        <f>1/(1+Assumptions!$B$26)^(1-0.5*Assumptions!$B$32)</f>
        <v>0.9530024942900157</v>
      </c>
      <c r="C14" s="21">
        <f>1/(1+Assumptions!$B$26)^(2-0.5*Assumptions!$B$32)</f>
        <v>0.8655299730277096</v>
      </c>
      <c r="D14" s="21">
        <f>1/(1+Assumptions!$B$26)^(3-0.5*Assumptions!$B$32)</f>
        <v>0.7860862261094675</v>
      </c>
      <c r="E14" s="21">
        <f>1/(1+Assumptions!$B$26)^(4-0.5*Assumptions!$B$32)</f>
        <v>0.713934322479254</v>
      </c>
      <c r="F14" s="21">
        <f>1/(1+Assumptions!$B$26)^(5-0.5*Assumptions!$B$32)</f>
        <v>0.6484049712161376</v>
      </c>
    </row>
    <row r="15" spans="1:6" x14ac:dyDescent="0.25">
      <c r="A15" s="19" t="s">
        <v>51</v>
      </c>
      <c r="B15" s="20">
        <f>B13*B14</f>
        <v>767454102.2965633</v>
      </c>
      <c r="C15" s="20">
        <f>C13*C14</f>
        <v>665701398.2207679</v>
      </c>
      <c r="D15" s="20">
        <f>D13*D14</f>
        <v>577439550.1528484</v>
      </c>
      <c r="E15" s="20">
        <f>E13*E14</f>
        <v>500879876.43094254</v>
      </c>
      <c r="F15" s="20">
        <f>F13*F14</f>
        <v>434470847.2896741</v>
      </c>
    </row>
    <row r="17" spans="1:2" x14ac:dyDescent="0.25">
      <c r="A17" s="22" t="s">
        <v>52</v>
      </c>
      <c r="B17" s="23">
        <f>SUM(B15:F15)</f>
        <v>2945945774.390796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670060944.2811455</v>
      </c>
    </row>
    <row r="5" spans="1:2" x14ac:dyDescent="0.25">
      <c r="A5" t="s">
        <v>56</v>
      </c>
      <c r="B5" s="18">
        <f>IF(Assumptions!$B$33=0,B4,B4-Forecast!F11-Forecast!F10-Forecast!F12)</f>
        <v>810363619.7281256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0.06470561695604671</v>
      </c>
    </row>
    <row r="7" spans="1:2" x14ac:dyDescent="0.25">
      <c r="A7" t="s">
        <v>58</v>
      </c>
      <c r="B7" s="18">
        <f>-MAX(Forecast!F9,0)*B6</f>
        <v>-52435077.97324359</v>
      </c>
    </row>
    <row r="8" spans="1:2" x14ac:dyDescent="0.25">
      <c r="A8" t="s">
        <v>59</v>
      </c>
      <c r="B8" s="18">
        <f>IF(OR(Assumptions!$B$33=0,Assumptions!B12&lt;=0),B5,MAX(B5+B7,0))</f>
        <v>757928541.754882</v>
      </c>
    </row>
    <row r="9" spans="1:2" x14ac:dyDescent="0.25">
      <c r="A9" t="s">
        <v>60</v>
      </c>
      <c r="B9" s="18">
        <f>B8*(1+Assumptions!B12)/(Assumptions!B26-Assumptions!B12)</f>
        <v>10213678943.802969</v>
      </c>
    </row>
    <row r="10" spans="1:2" x14ac:dyDescent="0.25">
      <c r="A10" t="s">
        <v>61</v>
      </c>
      <c r="B10" s="18">
        <f>B9/(1+Assumptions!B26)^(5-0.5*Assumptions!B32)</f>
        <v>6622600201.567435</v>
      </c>
    </row>
    <row r="11" spans="1:2" x14ac:dyDescent="0.25">
      <c r="A11" t="s">
        <v>62</v>
      </c>
      <c r="B11" s="18">
        <f>Forecast!B17+B10</f>
        <v>9568545975.958231</v>
      </c>
    </row>
    <row r="12" spans="1:2" x14ac:dyDescent="0.25">
      <c r="A12" t="s">
        <v>63</v>
      </c>
      <c r="B12" s="18">
        <f>-Assumptions!B30</f>
        <v>-2568000000</v>
      </c>
    </row>
    <row r="13" spans="1:2" x14ac:dyDescent="0.25">
      <c r="A13" t="s">
        <v>64</v>
      </c>
      <c r="B13" s="18">
        <f>B11+B12</f>
        <v>7000545975.958231</v>
      </c>
    </row>
    <row r="14" spans="1:2" x14ac:dyDescent="0.25">
      <c r="A14" s="19" t="s">
        <v>65</v>
      </c>
      <c r="B14" s="24">
        <f>B13/Assumptions!B31</f>
        <v>33.335933218848716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1107918615.7758179</v>
      </c>
    </row>
    <row r="18" spans="1:2" x14ac:dyDescent="0.25">
      <c r="A18" t="s">
        <v>60</v>
      </c>
      <c r="B18" s="18">
        <f>B17*Assumptions!B13</f>
        <v>12643854894.018057</v>
      </c>
    </row>
    <row r="19" spans="1:2" x14ac:dyDescent="0.25">
      <c r="A19" t="s">
        <v>61</v>
      </c>
      <c r="B19" s="18">
        <f>B18/(1+Assumptions!B26)^(5-0.5*Assumptions!B32)</f>
        <v>8198338368.616798</v>
      </c>
    </row>
    <row r="20" spans="1:2" x14ac:dyDescent="0.25">
      <c r="A20" t="s">
        <v>62</v>
      </c>
      <c r="B20" s="18">
        <f>Forecast!B17+B19</f>
        <v>11144284143.007595</v>
      </c>
    </row>
    <row r="21" spans="1:2" x14ac:dyDescent="0.25">
      <c r="A21" t="s">
        <v>63</v>
      </c>
      <c r="B21" s="18">
        <f>-Assumptions!B30</f>
        <v>-2568000000</v>
      </c>
    </row>
    <row r="22" spans="1:2" x14ac:dyDescent="0.25">
      <c r="A22" t="s">
        <v>64</v>
      </c>
      <c r="B22" s="18">
        <f>B20+B21</f>
        <v>8576284143.007595</v>
      </c>
    </row>
    <row r="23" spans="1:2" x14ac:dyDescent="0.25">
      <c r="A23" s="19" t="s">
        <v>65</v>
      </c>
      <c r="B23" s="25">
        <f>B22/Assumptions!B31</f>
        <v>40.83944830003617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68.06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33.335933218848716</v>
      </c>
    </row>
    <row r="29" spans="1:2" x14ac:dyDescent="0.25">
      <c r="A29" s="19" t="s">
        <v>73</v>
      </c>
      <c r="B29" s="12">
        <f>B28/B26-1</f>
        <v>-0.5101978663113618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0.081062</v>
      </c>
      <c r="B5" s="31">
        <v>42.514944789060735</v>
      </c>
      <c r="C5" s="31">
        <v>45.427270269795265</v>
      </c>
      <c r="D5" s="31">
        <v>48.8528062929951</v>
      </c>
      <c r="E5" s="31">
        <v>52.942313857778615</v>
      </c>
      <c r="F5" s="31">
        <v>57.91201399501193</v>
      </c>
    </row>
    <row r="6" spans="1:6" x14ac:dyDescent="0.25">
      <c r="A6" s="30">
        <v>0.091062</v>
      </c>
      <c r="B6" s="31">
        <v>35.5256405875124</v>
      </c>
      <c r="C6" s="31">
        <v>37.57042677437027</v>
      </c>
      <c r="D6" s="31">
        <v>39.9196313708632</v>
      </c>
      <c r="E6" s="31">
        <v>42.64803535607029</v>
      </c>
      <c r="F6" s="31">
        <v>45.857097665290176</v>
      </c>
    </row>
    <row r="7" spans="1:6" x14ac:dyDescent="0.25">
      <c r="A7" s="30">
        <v>0.101062</v>
      </c>
      <c r="B7" s="31">
        <v>30.16362130028929</v>
      </c>
      <c r="C7" s="31">
        <v>31.654041157739186</v>
      </c>
      <c r="D7" s="32">
        <v>33.33615195803376</v>
      </c>
      <c r="E7" s="31">
        <v>35.25041645401802</v>
      </c>
      <c r="F7" s="31">
        <v>37.44954733128044</v>
      </c>
    </row>
    <row r="8" spans="1:6" x14ac:dyDescent="0.25">
      <c r="A8" s="30">
        <v>0.111062</v>
      </c>
      <c r="B8" s="31">
        <v>25.92043190562841</v>
      </c>
      <c r="C8" s="31">
        <v>27.03862510678141</v>
      </c>
      <c r="D8" s="31">
        <v>28.283134678413138</v>
      </c>
      <c r="E8" s="31">
        <v>29.677334649750392</v>
      </c>
      <c r="F8" s="31">
        <v>31.250745096462776</v>
      </c>
    </row>
    <row r="9" spans="1:6" x14ac:dyDescent="0.25">
      <c r="A9" s="30">
        <v>0.121062</v>
      </c>
      <c r="B9" s="31">
        <v>22.47939296042245</v>
      </c>
      <c r="C9" s="31">
        <v>23.337813166280796</v>
      </c>
      <c r="D9" s="31">
        <v>24.28248595427949</v>
      </c>
      <c r="E9" s="31">
        <v>25.327619102988166</v>
      </c>
      <c r="F9" s="31">
        <v>26.49072214519305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7562000000</v>
      </c>
      <c r="C5" s="18">
        <v>7828000000</v>
      </c>
      <c r="D5" s="18">
        <v>7967000000</v>
      </c>
      <c r="E5" s="18">
        <v>8680000000</v>
      </c>
      <c r="F5" s="8" t="s">
        <v>84</v>
      </c>
    </row>
    <row r="6" spans="1:6" x14ac:dyDescent="0.25">
      <c r="A6" t="s">
        <v>44</v>
      </c>
      <c r="B6" s="18">
        <v>1253000000</v>
      </c>
      <c r="C6" s="18">
        <v>1363000000</v>
      </c>
      <c r="D6" s="18">
        <v>1363000000</v>
      </c>
      <c r="E6" s="18">
        <v>1323000000</v>
      </c>
      <c r="F6" s="8" t="s">
        <v>85</v>
      </c>
    </row>
    <row r="7" spans="1:6" x14ac:dyDescent="0.25">
      <c r="A7" t="s">
        <v>86</v>
      </c>
      <c r="B7" s="18">
        <v>148000000</v>
      </c>
      <c r="C7" s="18">
        <v>150000000</v>
      </c>
      <c r="D7" s="18">
        <v>149000000</v>
      </c>
      <c r="E7" s="18">
        <v>145000000</v>
      </c>
      <c r="F7" s="8" t="s">
        <v>87</v>
      </c>
    </row>
    <row r="8" spans="1:6" x14ac:dyDescent="0.25">
      <c r="A8" t="s">
        <v>88</v>
      </c>
      <c r="B8" s="18">
        <v>156000000</v>
      </c>
      <c r="C8" s="18">
        <v>168000000</v>
      </c>
      <c r="D8" s="18">
        <v>243000000</v>
      </c>
      <c r="E8" s="18">
        <v>224000000</v>
      </c>
      <c r="F8" s="8" t="s">
        <v>89</v>
      </c>
    </row>
    <row r="9" spans="1:6" x14ac:dyDescent="0.25">
      <c r="A9" t="s">
        <v>90</v>
      </c>
      <c r="B9" s="18">
        <v>76000000</v>
      </c>
      <c r="C9" s="18">
        <v>130000000</v>
      </c>
      <c r="D9" s="18">
        <v>-241000000</v>
      </c>
      <c r="E9" s="18">
        <v>283000000</v>
      </c>
      <c r="F9" s="8" t="s">
        <v>91</v>
      </c>
    </row>
    <row r="10" spans="1:6" x14ac:dyDescent="0.25">
      <c r="A10" t="s">
        <v>92</v>
      </c>
      <c r="B10" s="18">
        <v>3215000000</v>
      </c>
      <c r="C10" s="18">
        <v>3214000000</v>
      </c>
      <c r="D10" s="18">
        <v>3251000000</v>
      </c>
      <c r="E10" s="18">
        <v>3445000000</v>
      </c>
      <c r="F10" s="8" t="s">
        <v>93</v>
      </c>
    </row>
    <row r="11" spans="1:6" x14ac:dyDescent="0.25">
      <c r="A11" t="s">
        <v>94</v>
      </c>
      <c r="B11" s="18">
        <v>647000000</v>
      </c>
      <c r="C11" s="18">
        <v>634000000</v>
      </c>
      <c r="D11" s="18">
        <v>634000000</v>
      </c>
      <c r="E11" s="18">
        <v>452000000</v>
      </c>
      <c r="F11" s="8" t="s">
        <v>95</v>
      </c>
    </row>
    <row r="12" spans="1:6" x14ac:dyDescent="0.25">
      <c r="A12" t="s">
        <v>32</v>
      </c>
      <c r="B12" s="34">
        <v>210000000</v>
      </c>
      <c r="C12" s="34">
        <v>219000000</v>
      </c>
      <c r="D12" s="34">
        <v>226000000</v>
      </c>
      <c r="E12" s="34">
        <v>232000000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2026-09-19T00:06:07Z</dcterms:modified>
</cp:coreProperties>
</file>