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<sst xmlns="http://schemas.openxmlformats.org/spreadsheetml/2006/main" count="115" uniqueCount="102">
  <si>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Mediobanca Banca di Credito Finanziario S.p.A. (MB.MI)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</si>
  <si>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</si>
  <si>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</si>
  <si>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</si>
  <si>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</si>
  <si>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</si>
  <si>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</si>
  <si>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</si>
  <si>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</si>
  <si>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</si>
  <si>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</si>
  <si>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</si>
  <si>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</si>
  <si>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</si>
  <si>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</si>
  <si>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</si>
  <si>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</si>
  <si>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</si>
  <si>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</si>
  <si>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</si>
  <si>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</si>
  <si>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</si>
  <si>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</si>
  <si>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</si>
  <si>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</si>
  <si>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</si>
  <si>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</si>
  <si>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</si>
  <si>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</si>
  <si>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</si>
  <si>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2024-06-30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</si>
  <si>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</si>
  <si>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</si>
  <si>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</si>
  <si>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</si>
  <si>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</si>
  <si>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</si>
  <si>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</si>
  <si>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</si>
  <si>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</si>
  <si>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</si>
  <si>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</si>
  <si>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</si>
  <si>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</si>
  <si>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</si>
  <si>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</si>
  <si>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</si>
  <si>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</si>
  <si>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</si>
  <si>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</si>
  <si>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</si>
  <si>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</si>
  <si>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</si>
  <si>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</si>
  <si>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</si>
  <si>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</si>
  <si>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</si>
  <si>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</si>
  <si>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</si>
  <si>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</si>
  <si>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</si>
  <si>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</si>
  <si>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</si>
  <si>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</si>
  <si>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</si>
  <si>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</si>
  <si>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</si>
  <si>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</si>
  <si>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</si>
  <si>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</si>
  <si>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</si>
  <si>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</si>
  <si>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</si>
  <si>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</si>
  <si>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</si>
  <si>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</si>
  <si>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</si>
  <si>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</si>
  <si>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</si>
  <si>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</si>
  <si>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</si>
  <si>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</si>
  <si>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</si>
  <si>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</si>
  <si>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</si>
  <si>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</si>
  <si>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</si>
  <si>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</si>
  <si>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</si>
  <si>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</si>
  <si>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</si>
  <si>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</si>
  <si>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</si>
  <si>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</si>
  <si>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</si>
  <si>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</si>
  <si>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</si>
  <si>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</si>
  <si>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</si>
  <si>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Note: Risk-free rate is an assumption: USD assumption - no free live source available for this market.</t>
  </si>
  <si>
    <t>Current EV/EBITDA of 28.9x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</si>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</sst>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0.13698250128903133</v>
      </c>
    </row>
    <row r="7" spans="1:2" x14ac:dyDescent="0.25">
      <c r="A7" t="s">
        <v>5</v>
      </c>
      <c r="B7" s="6">
        <v>0.4926495213981006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0.033315182684339896</v>
      </c>
    </row>
    <row r="10" spans="1:2" x14ac:dyDescent="0.25">
      <c r="A10" t="s">
        <v>8</v>
      </c>
      <c r="B10" s="6">
        <v>0.02549916464215224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0.06865423584868859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0.8190999999999999</v>
      </c>
      <c r="C19" s="8" t="s">
        <v>19</v>
      </c>
    </row>
    <row r="20" spans="1:2" x14ac:dyDescent="0.25">
      <c r="A20" t="s">
        <v>20</v>
      </c>
      <c r="B20" s="10">
        <f>B17+B19*B18</f>
        <v>0.0952415</v>
      </c>
    </row>
    <row r="21" spans="1:3" x14ac:dyDescent="0.25">
      <c r="A21" t="s">
        <v>21</v>
      </c>
      <c r="B21" s="6">
        <v>0.0674009544998659</v>
      </c>
      <c r="C21" s="8" t="s">
        <v>22</v>
      </c>
    </row>
    <row r="22" spans="1:2" x14ac:dyDescent="0.25">
      <c r="A22" t="s">
        <v>23</v>
      </c>
      <c r="B22" s="11">
        <v>22970095616</v>
      </c>
    </row>
    <row r="23" spans="1:2" x14ac:dyDescent="0.25">
      <c r="A23" t="s">
        <v>24</v>
      </c>
      <c r="B23" s="11">
        <v>33734434000</v>
      </c>
    </row>
    <row r="24" spans="1:2" x14ac:dyDescent="0.25">
      <c r="A24" t="s">
        <v>25</v>
      </c>
      <c r="B24" s="10">
        <f>B22/(B22+B23)</f>
        <v>0.40508396368953664</v>
      </c>
    </row>
    <row r="25" spans="1:2" x14ac:dyDescent="0.25">
      <c r="A25" t="s">
        <v>26</v>
      </c>
      <c r="B25" s="10">
        <f>1-B24</f>
        <v>0.5949160363104633</v>
      </c>
    </row>
    <row r="26" spans="1:2" x14ac:dyDescent="0.25">
      <c r="A26" t="s">
        <v>27</v>
      </c>
      <c r="B26" s="12">
        <f>B24*B20+B25*B21*(1-B8)</f>
        <v>0.06865423584868859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3249642000</v>
      </c>
      <c r="C29" s="8" t="s">
        <v>30</v>
      </c>
    </row>
    <row r="30" spans="1:2" x14ac:dyDescent="0.25">
      <c r="A30" t="s">
        <v>31</v>
      </c>
      <c r="B30" s="11">
        <v>29630898000</v>
      </c>
    </row>
    <row r="31" spans="1:2" x14ac:dyDescent="0.25">
      <c r="A31" t="s">
        <v>32</v>
      </c>
      <c r="B31" s="13">
        <v>833095781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0.13698250128903133</v>
      </c>
      <c r="C5" s="10">
        <f>Assumptions!B6</f>
        <v>0.13698250128903133</v>
      </c>
      <c r="D5" s="10">
        <f>Assumptions!B6</f>
        <v>0.13698250128903133</v>
      </c>
      <c r="E5" s="10">
        <f>Assumptions!B6</f>
        <v>0.13698250128903133</v>
      </c>
      <c r="F5" s="10">
        <f>Assumptions!B6</f>
        <v>0.13698250128903133</v>
      </c>
    </row>
    <row r="6" spans="1:6" x14ac:dyDescent="0.25">
      <c r="A6" t="s">
        <v>43</v>
      </c>
      <c r="B6" s="18">
        <f>Assumptions!B29*(1+B5)</f>
        <v>3694786089.4538903</v>
      </c>
      <c r="C6" s="18">
        <f>B6*(1+C5)</f>
        <v>4200907129.715203</v>
      </c>
      <c r="D6" s="18">
        <f>C6*(1+D5)</f>
        <v>4776357896.026517</v>
      </c>
      <c r="E6" s="18">
        <f>D6*(1+E5)</f>
        <v>5430635347.675844</v>
      </c>
      <c r="F6" s="18">
        <f>E6*(1+F5)</f>
        <v>6174537361.18911</v>
      </c>
    </row>
    <row r="7" spans="1:6" x14ac:dyDescent="0.25">
      <c r="A7" t="s">
        <v>5</v>
      </c>
      <c r="B7" s="10">
        <f>Assumptions!B7</f>
        <v>0.4926495213981006</v>
      </c>
      <c r="C7" s="10">
        <f>Assumptions!B7</f>
        <v>0.4926495213981006</v>
      </c>
      <c r="D7" s="10">
        <f>Assumptions!B7</f>
        <v>0.4926495213981006</v>
      </c>
      <c r="E7" s="10">
        <f>Assumptions!B7</f>
        <v>0.4926495213981006</v>
      </c>
      <c r="F7" s="10">
        <f>Assumptions!B7</f>
        <v>0.4926495213981006</v>
      </c>
    </row>
    <row r="8" spans="1:6" x14ac:dyDescent="0.25">
      <c r="A8" t="s">
        <v>44</v>
      </c>
      <c r="B8" s="18">
        <f>B6*B7</f>
        <v>1820234598.6378188</v>
      </c>
      <c r="C8" s="18">
        <f>C6*C7</f>
        <v>2069574886.8920631</v>
      </c>
      <c r="D8" s="18">
        <f>D6*D7</f>
        <v>2353070431.5035024</v>
      </c>
      <c r="E8" s="18">
        <f>E6*E7</f>
        <v>2675399904.920112</v>
      </c>
      <c r="F8" s="18">
        <f>F6*F7</f>
        <v>3041882875.844506</v>
      </c>
    </row>
    <row r="9" spans="1:6" x14ac:dyDescent="0.25">
      <c r="A9" t="s">
        <v>45</v>
      </c>
      <c r="B9" s="18">
        <f>B8*(1-Assumptions!B8)</f>
        <v>1365175948.978364</v>
      </c>
      <c r="C9" s="18">
        <f>C8*(1-Assumptions!B8)</f>
        <v>1552181165.1690474</v>
      </c>
      <c r="D9" s="18">
        <f>D8*(1-Assumptions!B8)</f>
        <v>1764802823.627627</v>
      </c>
      <c r="E9" s="18">
        <f>E8*(1-Assumptions!B8)</f>
        <v>2006549928.690084</v>
      </c>
      <c r="F9" s="18">
        <f>F8*(1-Assumptions!B8)</f>
        <v>2281412156.8833795</v>
      </c>
    </row>
    <row r="10" spans="1:6" x14ac:dyDescent="0.25">
      <c r="A10" t="s">
        <v>46</v>
      </c>
      <c r="B10" s="18">
        <f>B6*Assumptions!B9</f>
        <v>123092473.54971416</v>
      </c>
      <c r="C10" s="18">
        <f>C6*Assumptions!B9</f>
        <v>139953988.46640792</v>
      </c>
      <c r="D10" s="18">
        <f>D6*Assumptions!B9</f>
        <v>159125235.87191275</v>
      </c>
      <c r="E10" s="18">
        <f>E6*Assumptions!B9</f>
        <v>180922608.69985446</v>
      </c>
      <c r="F10" s="18">
        <f>F6*Assumptions!B9</f>
        <v>205705840.17929718</v>
      </c>
    </row>
    <row r="11" spans="1:6" x14ac:dyDescent="0.25">
      <c r="A11" t="s">
        <v>47</v>
      </c>
      <c r="B11" s="18">
        <f>-B6*Assumptions!B10</f>
        <v>-94213958.81251858</v>
      </c>
      <c r="C11" s="18">
        <f>-C6*Assumptions!B10</f>
        <v>-107119622.54699914</v>
      </c>
      <c r="D11" s="18">
        <f>-D6*Assumptions!B10</f>
        <v>-121793136.38062403</v>
      </c>
      <c r="E11" s="18">
        <f>-E6*Assumptions!B10</f>
        <v>-138476664.84187803</v>
      </c>
      <c r="F11" s="18">
        <f>-F6*Assumptions!B10</f>
        <v>-157445544.76208133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1394054463.7155595</v>
      </c>
      <c r="C13" s="20">
        <f>C9+C10+C11+C12</f>
        <v>1585015531.0884562</v>
      </c>
      <c r="D13" s="20">
        <f>D9+D10+D11+D12</f>
        <v>1802134923.1189156</v>
      </c>
      <c r="E13" s="20">
        <f>E9+E10+E11+E12</f>
        <v>2048995872.5480604</v>
      </c>
      <c r="F13" s="20">
        <f>F9+F10+F11+F12</f>
        <v>2329672452.3005953</v>
      </c>
    </row>
    <row r="14" spans="1:6" x14ac:dyDescent="0.25">
      <c r="A14" t="s">
        <v>50</v>
      </c>
      <c r="B14" s="21">
        <f>1/(1+Assumptions!$B$26)^(1-0.5*Assumptions!$B$32)</f>
        <v>0.9673450067192412</v>
      </c>
      <c r="C14" s="21">
        <f>1/(1+Assumptions!$B$26)^(2-0.5*Assumptions!$B$32)</f>
        <v>0.9051992443103067</v>
      </c>
      <c r="D14" s="21">
        <f>1/(1+Assumptions!$B$26)^(3-0.5*Assumptions!$B$32)</f>
        <v>0.8470459517632741</v>
      </c>
      <c r="E14" s="21">
        <f>1/(1+Assumptions!$B$26)^(4-0.5*Assumptions!$B$32)</f>
        <v>0.7926286382897076</v>
      </c>
      <c r="F14" s="21">
        <f>1/(1+Assumptions!$B$26)^(5-0.5*Assumptions!$B$32)</f>
        <v>0.7417072910025282</v>
      </c>
    </row>
    <row r="15" spans="1:6" x14ac:dyDescent="0.25">
      <c r="A15" s="19" t="s">
        <v>51</v>
      </c>
      <c r="B15" s="20">
        <f>B13*B14</f>
        <v>1348531624.569916</v>
      </c>
      <c r="C15" s="20">
        <f>C13*C14</f>
        <v>1434754860.96137</v>
      </c>
      <c r="D15" s="20">
        <f>D13*D14</f>
        <v>1526491091.1590967</v>
      </c>
      <c r="E15" s="20">
        <f>E13*E14</f>
        <v>1624092808.3190005</v>
      </c>
      <c r="F15" s="20">
        <f>F13*F14</f>
        <v>1727935043.5190911</v>
      </c>
    </row>
    <row r="17" spans="1:2" x14ac:dyDescent="0.25">
      <c r="A17" s="22" t="s">
        <v>52</v>
      </c>
      <c r="B17" s="23">
        <f>SUM(B15:F15)</f>
        <v>7661805428.528475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2329672452.3005953</v>
      </c>
    </row>
    <row r="5" spans="1:2" x14ac:dyDescent="0.25">
      <c r="A5" t="s">
        <v>56</v>
      </c>
      <c r="B5" s="18">
        <f>IF(Assumptions!$B$33=0,B4,B4-Forecast!F11-Forecast!F10-Forecast!F12)</f>
        <v>2281412156.8833795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0.36414359130147606</v>
      </c>
    </row>
    <row r="7" spans="1:2" x14ac:dyDescent="0.25">
      <c r="A7" t="s">
        <v>58</v>
      </c>
      <c r="B7" s="18">
        <f>-MAX(Forecast!F9,0)*B6</f>
        <v>-830761616.0463603</v>
      </c>
    </row>
    <row r="8" spans="1:2" x14ac:dyDescent="0.25">
      <c r="A8" t="s">
        <v>59</v>
      </c>
      <c r="B8" s="18">
        <f>IF(OR(Assumptions!$B$33=0,Assumptions!B12&lt;=0),B5,MAX(B5+B7,0))</f>
        <v>1450650540.8370192</v>
      </c>
    </row>
    <row r="9" spans="1:2" x14ac:dyDescent="0.25">
      <c r="A9" t="s">
        <v>60</v>
      </c>
      <c r="B9" s="18">
        <f>B8*(1+Assumptions!B12)/(Assumptions!B26-Assumptions!B12)</f>
        <v>34061226257.900764</v>
      </c>
    </row>
    <row r="10" spans="1:2" x14ac:dyDescent="0.25">
      <c r="A10" t="s">
        <v>61</v>
      </c>
      <c r="B10" s="18">
        <f>B9/(1+Assumptions!B26)^(5-0.5*Assumptions!B32)</f>
        <v>25263459855.971756</v>
      </c>
    </row>
    <row r="11" spans="1:2" x14ac:dyDescent="0.25">
      <c r="A11" t="s">
        <v>62</v>
      </c>
      <c r="B11" s="18">
        <f>Forecast!B17+B10</f>
        <v>32925265284.50023</v>
      </c>
    </row>
    <row r="12" spans="1:2" x14ac:dyDescent="0.25">
      <c r="A12" t="s">
        <v>63</v>
      </c>
      <c r="B12" s="18">
        <f>-Assumptions!B30</f>
        <v>-29630898000</v>
      </c>
    </row>
    <row r="13" spans="1:2" x14ac:dyDescent="0.25">
      <c r="A13" t="s">
        <v>64</v>
      </c>
      <c r="B13" s="18">
        <f>B11+B12</f>
        <v>3294367284.500229</v>
      </c>
    </row>
    <row r="14" spans="1:2" x14ac:dyDescent="0.25">
      <c r="A14" s="19" t="s">
        <v>65</v>
      </c>
      <c r="B14" s="24">
        <f>B13/Assumptions!B31</f>
        <v>3.954367984610198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3247588716.0238028</v>
      </c>
    </row>
    <row r="18" spans="1:2" x14ac:dyDescent="0.25">
      <c r="A18" t="s">
        <v>60</v>
      </c>
      <c r="B18" s="18">
        <f>B17*Assumptions!B13</f>
        <v>64951774320.47606</v>
      </c>
    </row>
    <row r="19" spans="1:2" x14ac:dyDescent="0.25">
      <c r="A19" t="s">
        <v>61</v>
      </c>
      <c r="B19" s="18">
        <f>B18/(1+Assumptions!B26)^(5-0.5*Assumptions!B32)</f>
        <v>48175204577.047874</v>
      </c>
    </row>
    <row r="20" spans="1:2" x14ac:dyDescent="0.25">
      <c r="A20" t="s">
        <v>62</v>
      </c>
      <c r="B20" s="18">
        <f>Forecast!B17+B19</f>
        <v>55837010005.57635</v>
      </c>
    </row>
    <row r="21" spans="1:2" x14ac:dyDescent="0.25">
      <c r="A21" t="s">
        <v>63</v>
      </c>
      <c r="B21" s="18">
        <f>-Assumptions!B30</f>
        <v>-29630898000</v>
      </c>
    </row>
    <row r="22" spans="1:2" x14ac:dyDescent="0.25">
      <c r="A22" t="s">
        <v>64</v>
      </c>
      <c r="B22" s="18">
        <f>B20+B21</f>
        <v>26206112005.576347</v>
      </c>
    </row>
    <row r="23" spans="1:2" x14ac:dyDescent="0.25">
      <c r="A23" s="19" t="s">
        <v>65</v>
      </c>
      <c r="B23" s="25">
        <f>B22/Assumptions!B31</f>
        <v>31.456301428054342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3.954367984610198</v>
      </c>
    </row>
    <row r="29" spans="1:2" x14ac:dyDescent="0.25">
      <c r="A29" s="19" t="s">
        <v>73</v>
      </c>
      <c r="B29" s="12">
        <f>B28/B26-1</f>
        <v>-0.8611528095291363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0.048654</v>
      </c>
      <c r="B5" s="31">
        <v>20.23333166568967</v>
      </c>
      <c r="C5" s="31">
        <v>20.460587629921605</v>
      </c>
      <c r="D5" s="31">
        <v>20.68784359415354</v>
      </c>
      <c r="E5" s="31">
        <v>20.915099558385485</v>
      </c>
      <c r="F5" s="31">
        <v>21.142355522617393</v>
      </c>
    </row>
    <row r="6" spans="1:6" x14ac:dyDescent="0.25">
      <c r="A6" s="30">
        <v>0.058654</v>
      </c>
      <c r="B6" s="31">
        <v>10.527819402274817</v>
      </c>
      <c r="C6" s="31">
        <v>10.708448616759062</v>
      </c>
      <c r="D6" s="31">
        <v>10.88907783124328</v>
      </c>
      <c r="E6" s="31">
        <v>11.069707045727517</v>
      </c>
      <c r="F6" s="31">
        <v>11.250336260211744</v>
      </c>
    </row>
    <row r="7" spans="1:6" x14ac:dyDescent="0.25">
      <c r="A7" s="30">
        <v>0.068654</v>
      </c>
      <c r="B7" s="31">
        <v>3.65865462092323</v>
      </c>
      <c r="C7" s="31">
        <v>3.8065811116098716</v>
      </c>
      <c r="D7" s="32">
        <v>3.954507602296513</v>
      </c>
      <c r="E7" s="31">
        <v>4.102434092983141</v>
      </c>
      <c r="F7" s="31">
        <v>4.250360583669778</v>
      </c>
    </row>
    <row r="8" spans="1:6" x14ac:dyDescent="0.25">
      <c r="A8" s="30">
        <v>0.078654</v>
      </c>
      <c r="B8" s="31">
        <v>-1.4563578834065556</v>
      </c>
      <c r="C8" s="31">
        <v>-1.332538597678095</v>
      </c>
      <c r="D8" s="31">
        <v>-1.2087193119496529</v>
      </c>
      <c r="E8" s="31">
        <v>-1.0849000262212107</v>
      </c>
      <c r="F8" s="31">
        <v>-0.9610807404927685</v>
      </c>
    </row>
    <row r="9" spans="1:6" x14ac:dyDescent="0.25">
      <c r="A9" s="30">
        <v>0.088654</v>
      </c>
      <c r="B9" s="31">
        <v>-5.411117592108681</v>
      </c>
      <c r="C9" s="31">
        <v>-5.3057332573332285</v>
      </c>
      <c r="D9" s="31">
        <v>-5.200348922557785</v>
      </c>
      <c r="E9" s="31">
        <v>-5.094964587782337</v>
      </c>
      <c r="F9" s="31">
        <v>-4.989580253006893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3249642000</v>
      </c>
      <c r="C5" s="18">
        <v>2908216000</v>
      </c>
      <c r="D5" s="18">
        <v>2513784000</v>
      </c>
      <c r="E5" s="8" t="s">
        <v>83</v>
      </c>
    </row>
    <row r="6" spans="1:5" x14ac:dyDescent="0.25">
      <c r="A6" t="s">
        <v>44</v>
      </c>
      <c r="B6" s="18">
        <v>1710491000</v>
      </c>
      <c r="C6" s="18">
        <v>1423496000</v>
      </c>
      <c r="D6" s="18">
        <v>1161649000</v>
      </c>
      <c r="E6" s="8" t="s">
        <v>84</v>
      </c>
    </row>
    <row r="7" spans="1:5" x14ac:dyDescent="0.25">
      <c r="A7" t="s">
        <v>85</v>
      </c>
      <c r="B7" s="18">
        <v>109680000</v>
      </c>
      <c r="C7" s="18">
        <v>92336000</v>
      </c>
      <c r="D7" s="18">
        <v>86585000</v>
      </c>
      <c r="E7" s="8" t="s">
        <v>86</v>
      </c>
    </row>
    <row r="8" spans="1:5" x14ac:dyDescent="0.25">
      <c r="A8" t="s">
        <v>87</v>
      </c>
      <c r="B8" s="18">
        <v>87666000</v>
      </c>
      <c r="C8" s="18">
        <v>76198000</v>
      </c>
      <c r="D8" s="18">
        <v>58620000</v>
      </c>
      <c r="E8" s="8" t="s">
        <v>88</v>
      </c>
    </row>
    <row r="9" spans="1:5" x14ac:dyDescent="0.25">
      <c r="A9" t="s">
        <v>89</v>
      </c>
      <c r="B9" s="18">
        <v>0</v>
      </c>
      <c r="C9" s="18">
        <v>0</v>
      </c>
      <c r="D9" s="18">
        <v>0</v>
      </c>
      <c r="E9" s="8" t="s">
        <v>84</v>
      </c>
    </row>
    <row r="10" spans="1:5" x14ac:dyDescent="0.25">
      <c r="A10" t="s">
        <v>90</v>
      </c>
      <c r="B10" s="18">
        <v>33734434000</v>
      </c>
      <c r="C10" s="18">
        <v>26368246000</v>
      </c>
      <c r="D10" s="18">
        <v>22745595000</v>
      </c>
      <c r="E10" s="8" t="s">
        <v>91</v>
      </c>
    </row>
    <row r="11" spans="1:5" x14ac:dyDescent="0.25">
      <c r="A11" t="s">
        <v>92</v>
      </c>
      <c r="B11" s="18">
        <v>4103536000</v>
      </c>
      <c r="C11" s="18">
        <v>4757912000</v>
      </c>
      <c r="D11" s="18">
        <v>8332217000</v>
      </c>
      <c r="E11" s="8" t="s">
        <v>93</v>
      </c>
    </row>
    <row r="12" spans="1:5" x14ac:dyDescent="0.25">
      <c r="A12" t="s">
        <v>32</v>
      </c>
      <c r="B12" s="34">
        <v>833095781</v>
      </c>
      <c r="C12" s="34">
        <v>845322563</v>
      </c>
      <c r="D12" s="34">
        <v>842975394</v>
      </c>
      <c r="E12" s="8" t="s">
        <v>94</v>
      </c>
    </row>
    <row r="15" spans="1:1" x14ac:dyDescent="0.25">
      <c r="A15" s="19" t="s">
        <v>95</v>
      </c>
    </row>
    <row r="16" ht="54" customHeight="1" spans="1:5" x14ac:dyDescent="0.25">
      <c r="A16" s="35" t="s">
        <v>96</v>
      </c>
      <c r="B16" s="35"/>
      <c r="C16" s="35"/>
      <c r="D16" s="35"/>
      <c r="E16" s="35"/>
    </row>
    <row r="17" ht="22" customHeight="1" spans="1:5" x14ac:dyDescent="0.25">
      <c r="A17" s="35" t="s">
        <v>97</v>
      </c>
      <c r="B17" s="35"/>
      <c r="C17" s="35"/>
      <c r="D17" s="35"/>
      <c r="E17" s="35"/>
    </row>
    <row r="18" ht="22" customHeight="1" spans="1:5" x14ac:dyDescent="0.25">
      <c r="A18" s="35" t="s">
        <v>98</v>
      </c>
      <c r="B18" s="35"/>
      <c r="C18" s="35"/>
      <c r="D18" s="35"/>
      <c r="E18" s="35"/>
    </row>
    <row r="19" ht="22" customHeight="1" spans="1:5" x14ac:dyDescent="0.25">
      <c r="A19" s="35" t="s">
        <v>99</v>
      </c>
      <c r="B19" s="35"/>
      <c r="C19" s="35"/>
      <c r="D19" s="35"/>
      <c r="E19" s="35"/>
    </row>
    <row r="20" ht="38" customHeight="1" spans="1:5" x14ac:dyDescent="0.25">
      <c r="A20" s="35" t="s">
        <v>100</v>
      </c>
      <c r="B20" s="35"/>
      <c r="C20" s="35"/>
      <c r="D20" s="35"/>
      <c r="E20" s="35"/>
    </row>
    <row r="22" spans="1:1" x14ac:dyDescent="0.25">
      <c r="A22" s="36" t="s">
        <v>101</v>
      </c>
    </row>
  </sheetData>
  <mergeCells count="5">
    <mergeCell ref="A16:E16"/>
    <mergeCell ref="A17:E17"/>
    <mergeCell ref="A18:E18"/>
    <mergeCell ref="A19:E19"/>
    <mergeCell ref="A20:E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2026-09-19T00:06:59Z</dcterms:modified>
</cp:coreProperties>
</file>