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<sst xmlns="http://schemas.openxmlformats.org/spreadsheetml/2006/main" count="118" uniqueCount="101">
  <si>
    <t>Mercedes-Benz Group AG (MBG.DE)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</si>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</sst>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-0.04123466631506645</v>
      </c>
    </row>
    <row r="7" spans="1:2" x14ac:dyDescent="0.25">
      <c r="A7" t="s">
        <v>5</v>
      </c>
      <c r="B7" s="6">
        <v>0.08887926222649364</v>
      </c>
    </row>
    <row r="8" spans="1:2" x14ac:dyDescent="0.25">
      <c r="A8" t="s">
        <v>6</v>
      </c>
      <c r="B8" s="6">
        <v>0.2674309793464915</v>
      </c>
    </row>
    <row r="9" spans="1:2" x14ac:dyDescent="0.25">
      <c r="A9" t="s">
        <v>7</v>
      </c>
      <c r="B9" s="6">
        <v>0.047083945603590485</v>
      </c>
    </row>
    <row r="10" spans="1:2" x14ac:dyDescent="0.25">
      <c r="A10" t="s">
        <v>8</v>
      </c>
      <c r="B10" s="6">
        <v>0.058270280656239945</v>
      </c>
    </row>
    <row r="11" spans="1:2" x14ac:dyDescent="0.25">
      <c r="A11" t="s">
        <v>9</v>
      </c>
      <c r="B11" s="6">
        <v>0.4463378176382661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8.679627759530307</v>
      </c>
    </row>
    <row r="14" spans="1:3" x14ac:dyDescent="0.25">
      <c r="A14" t="s">
        <v>12</v>
      </c>
      <c r="B14" s="6">
        <v>0.06070637005008925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0.78426</v>
      </c>
      <c r="C19" s="8" t="s">
        <v>19</v>
      </c>
    </row>
    <row r="20" spans="1:2" x14ac:dyDescent="0.25">
      <c r="A20" t="s">
        <v>20</v>
      </c>
      <c r="B20" s="10">
        <f>B17+B19*B18</f>
        <v>0.0730556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42117738496</v>
      </c>
    </row>
    <row r="23" spans="1:2" x14ac:dyDescent="0.25">
      <c r="A23" t="s">
        <v>24</v>
      </c>
      <c r="B23" s="11">
        <v>82267000000</v>
      </c>
    </row>
    <row r="24" spans="1:2" x14ac:dyDescent="0.25">
      <c r="A24" t="s">
        <v>25</v>
      </c>
      <c r="B24" s="10">
        <f>B22/(B22+B23)</f>
        <v>0.3386085705148983</v>
      </c>
    </row>
    <row r="25" spans="1:2" x14ac:dyDescent="0.25">
      <c r="A25" t="s">
        <v>26</v>
      </c>
      <c r="B25" s="10">
        <f>1-B24</f>
        <v>0.6613914294851018</v>
      </c>
    </row>
    <row r="26" spans="1:2" x14ac:dyDescent="0.25">
      <c r="A26" t="s">
        <v>27</v>
      </c>
      <c r="B26" s="12">
        <f>B24*B20+B25*B21*(1-B8)</f>
        <v>0.03733463895003785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132214000000</v>
      </c>
      <c r="C29" s="8" t="s">
        <v>30</v>
      </c>
    </row>
    <row r="30" spans="1:2" x14ac:dyDescent="0.25">
      <c r="A30" t="s">
        <v>31</v>
      </c>
      <c r="B30" s="11">
        <v>62845000000</v>
      </c>
    </row>
    <row r="31" spans="1:2" x14ac:dyDescent="0.25">
      <c r="A31" t="s">
        <v>32</v>
      </c>
      <c r="B31" s="13">
        <v>962400000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-0.04123466631506645</v>
      </c>
      <c r="C5" s="10">
        <f>Assumptions!B6</f>
        <v>-0.04123466631506645</v>
      </c>
      <c r="D5" s="10">
        <f>Assumptions!B6</f>
        <v>-0.04123466631506645</v>
      </c>
      <c r="E5" s="10">
        <f>Assumptions!B6</f>
        <v>-0.04123466631506645</v>
      </c>
      <c r="F5" s="10">
        <f>Assumptions!B6</f>
        <v>-0.04123466631506645</v>
      </c>
    </row>
    <row r="6" spans="1:6" x14ac:dyDescent="0.25">
      <c r="A6" t="s">
        <v>43</v>
      </c>
      <c r="B6" s="18">
        <f>Assumptions!B29*(1+B5)</f>
        <v>126762199827.81981</v>
      </c>
      <c r="C6" s="18">
        <f>B6*(1+C5)</f>
        <v>121535202816.5559</v>
      </c>
      <c r="D6" s="18">
        <f>C6*(1+D5)</f>
        <v>116523739282.88129</v>
      </c>
      <c r="E6" s="18">
        <f>D6*(1+E5)</f>
        <v>111718921775.76788</v>
      </c>
      <c r="F6" s="18">
        <f>E6*(1+F5)</f>
        <v>107112229315.26509</v>
      </c>
    </row>
    <row r="7" spans="1:6" x14ac:dyDescent="0.25">
      <c r="A7" t="s">
        <v>5</v>
      </c>
      <c r="B7" s="10">
        <f>Assumptions!B7</f>
        <v>0.08887926222649364</v>
      </c>
      <c r="C7" s="10">
        <f>Assumptions!B7</f>
        <v>0.08887926222649364</v>
      </c>
      <c r="D7" s="10">
        <f>Assumptions!B7</f>
        <v>0.08887926222649364</v>
      </c>
      <c r="E7" s="10">
        <f>Assumptions!B7</f>
        <v>0.08887926222649364</v>
      </c>
      <c r="F7" s="10">
        <f>Assumptions!B7</f>
        <v>0.08887926222649364</v>
      </c>
    </row>
    <row r="8" spans="1:6" x14ac:dyDescent="0.25">
      <c r="A8" t="s">
        <v>44</v>
      </c>
      <c r="B8" s="18">
        <f>B6*B7</f>
        <v>11266530798.903984</v>
      </c>
      <c r="C8" s="18">
        <f>C6*C7</f>
        <v>10801959160.882761</v>
      </c>
      <c r="D8" s="18">
        <f>D6*D7</f>
        <v>10356543979.334784</v>
      </c>
      <c r="E8" s="18">
        <f>E6*E7</f>
        <v>9929495344.169605</v>
      </c>
      <c r="F8" s="18">
        <f>F6*F7</f>
        <v>9520055916.975765</v>
      </c>
    </row>
    <row r="9" spans="1:6" x14ac:dyDescent="0.25">
      <c r="A9" t="s">
        <v>45</v>
      </c>
      <c r="B9" s="18">
        <f>B8*(1-Assumptions!B8)</f>
        <v>8253511433.515682</v>
      </c>
      <c r="C9" s="18">
        <f>C8*(1-Assumptions!B8)</f>
        <v>7913180643.627078</v>
      </c>
      <c r="D9" s="18">
        <f>D8*(1-Assumptions!B8)</f>
        <v>7586883280.296272</v>
      </c>
      <c r="E9" s="18">
        <f>E8*(1-Assumptions!B8)</f>
        <v>7274040679.8619</v>
      </c>
      <c r="F9" s="18">
        <f>F8*(1-Assumptions!B8)</f>
        <v>6974098039.665575</v>
      </c>
    </row>
    <row r="10" spans="1:6" x14ac:dyDescent="0.25">
      <c r="A10" t="s">
        <v>46</v>
      </c>
      <c r="B10" s="18">
        <f>B6*Assumptions!B9</f>
        <v>5968464521.284535</v>
      </c>
      <c r="C10" s="18">
        <f>C6*Assumptions!B9</f>
        <v>5722356878.336055</v>
      </c>
      <c r="D10" s="18">
        <f>D6*Assumptions!B9</f>
        <v>5486397401.922142</v>
      </c>
      <c r="E10" s="18">
        <f>E6*Assumptions!B9</f>
        <v>5260167635.782036</v>
      </c>
      <c r="F10" s="18">
        <f>F6*Assumptions!B9</f>
        <v>5043266378.559252</v>
      </c>
    </row>
    <row r="11" spans="1:6" x14ac:dyDescent="0.25">
      <c r="A11" t="s">
        <v>47</v>
      </c>
      <c r="B11" s="18">
        <f>-B6*Assumptions!B10</f>
        <v>-7386468960.569431</v>
      </c>
      <c r="C11" s="18">
        <f>-C6*Assumptions!B10</f>
        <v>-7081890377.733755</v>
      </c>
      <c r="D11" s="18">
        <f>-D6*Assumptions!B10</f>
        <v>-6789870991.128024</v>
      </c>
      <c r="E11" s="18">
        <f>-E6*Assumptions!B10</f>
        <v>-6509892926.486511</v>
      </c>
      <c r="F11" s="18">
        <f>-F6*Assumptions!B10</f>
        <v>-6241459663.916029</v>
      </c>
    </row>
    <row r="12" spans="1:6" x14ac:dyDescent="0.25">
      <c r="A12" t="s">
        <v>48</v>
      </c>
      <c r="B12" s="18">
        <f>-(B6-Assumptions!B29)*Assumptions!B11</f>
        <v>2433344591.05083</v>
      </c>
      <c r="C12" s="18">
        <f>-(C6-B6)*Assumptions!B11</f>
        <v>2333006438.8092756</v>
      </c>
      <c r="D12" s="18">
        <f>-(D6-C6)*Assumptions!B11</f>
        <v>2236805696.794077</v>
      </c>
      <c r="E12" s="18">
        <f>-(E6-D6)*Assumptions!B11</f>
        <v>2144571760.2751305</v>
      </c>
      <c r="F12" s="18">
        <f>-(F6-E6)*Assumptions!B11</f>
        <v>2056141059.3514705</v>
      </c>
    </row>
    <row r="13" spans="1:6" x14ac:dyDescent="0.25">
      <c r="A13" s="19" t="s">
        <v>49</v>
      </c>
      <c r="B13" s="20">
        <f>B9+B10+B11+B12</f>
        <v>9268851585.281616</v>
      </c>
      <c r="C13" s="20">
        <f>C9+C10+C11+C12</f>
        <v>8886653583.038654</v>
      </c>
      <c r="D13" s="20">
        <f>D9+D10+D11+D12</f>
        <v>8520215387.884467</v>
      </c>
      <c r="E13" s="20">
        <f>E9+E10+E11+E12</f>
        <v>8168887149.432555</v>
      </c>
      <c r="F13" s="20">
        <f>F9+F10+F11+F12</f>
        <v>7832045813.660269</v>
      </c>
    </row>
    <row r="14" spans="1:6" x14ac:dyDescent="0.25">
      <c r="A14" t="s">
        <v>50</v>
      </c>
      <c r="B14" s="21">
        <f>1/(1+Assumptions!$B$26)^(1-0.5*Assumptions!$B$32)</f>
        <v>0.9818396353008019</v>
      </c>
      <c r="C14" s="21">
        <f>1/(1+Assumptions!$B$26)^(2-0.5*Assumptions!$B$32)</f>
        <v>0.9465023131731082</v>
      </c>
      <c r="D14" s="21">
        <f>1/(1+Assumptions!$B$26)^(3-0.5*Assumptions!$B$32)</f>
        <v>0.9124368141520199</v>
      </c>
      <c r="E14" s="21">
        <f>1/(1+Assumptions!$B$26)^(4-0.5*Assumptions!$B$32)</f>
        <v>0.879597364140432</v>
      </c>
      <c r="F14" s="21">
        <f>1/(1+Assumptions!$B$26)^(5-0.5*Assumptions!$B$32)</f>
        <v>0.8479398364935898</v>
      </c>
    </row>
    <row r="15" spans="1:6" x14ac:dyDescent="0.25">
      <c r="A15" s="19" t="s">
        <v>51</v>
      </c>
      <c r="B15" s="20">
        <f>B13*B14</f>
        <v>9100525860.150162</v>
      </c>
      <c r="C15" s="20">
        <f>C13*C14</f>
        <v>8411238172.714176</v>
      </c>
      <c r="D15" s="20">
        <f>D13*D14</f>
        <v>7774158184.41032</v>
      </c>
      <c r="E15" s="20">
        <f>E13*E14</f>
        <v>7185331604.601522</v>
      </c>
      <c r="F15" s="20">
        <f>F13*F14</f>
        <v>6641103646.645393</v>
      </c>
    </row>
    <row r="17" spans="1:2" x14ac:dyDescent="0.25">
      <c r="A17" s="22" t="s">
        <v>52</v>
      </c>
      <c r="B17" s="23">
        <f>SUM(B15:F15)</f>
        <v>39112357468.521576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7832045813.660269</v>
      </c>
    </row>
    <row r="5" spans="1:2" x14ac:dyDescent="0.25">
      <c r="A5" t="s">
        <v>56</v>
      </c>
      <c r="B5" s="18">
        <f>IF(Assumptions!$B$33=0,B4,B4-Forecast!F11-Forecast!F10-Forecast!F12)</f>
        <v>6974098039.665575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0.4118183969717235</v>
      </c>
    </row>
    <row r="7" spans="1:2" x14ac:dyDescent="0.25">
      <c r="A7" t="s">
        <v>58</v>
      </c>
      <c r="B7" s="18">
        <f>-MAX(Forecast!F9,0)*B6</f>
        <v>-2872061875.0187163</v>
      </c>
    </row>
    <row r="8" spans="1:2" x14ac:dyDescent="0.25">
      <c r="A8" t="s">
        <v>59</v>
      </c>
      <c r="B8" s="18">
        <f>IF(OR(Assumptions!$B$33=0,Assumptions!B12&lt;=0),B5,MAX(B5+B7,0))</f>
        <v>4102036164.6468587</v>
      </c>
    </row>
    <row r="9" spans="1:2" x14ac:dyDescent="0.25">
      <c r="A9" t="s">
        <v>60</v>
      </c>
      <c r="B9" s="18">
        <f>B8*(1+Assumptions!B12)/(Assumptions!B26-Assumptions!B12)</f>
        <v>340876379583.8651</v>
      </c>
    </row>
    <row r="10" spans="1:2" x14ac:dyDescent="0.25">
      <c r="A10" t="s">
        <v>61</v>
      </c>
      <c r="B10" s="18">
        <f>B9/(1+Assumptions!B26)^(5-0.5*Assumptions!B32)</f>
        <v>289042661568.86945</v>
      </c>
    </row>
    <row r="11" spans="1:2" x14ac:dyDescent="0.25">
      <c r="A11" t="s">
        <v>62</v>
      </c>
      <c r="B11" s="18">
        <f>Forecast!B17+B10</f>
        <v>328155019037.391</v>
      </c>
    </row>
    <row r="12" spans="1:2" x14ac:dyDescent="0.25">
      <c r="A12" t="s">
        <v>63</v>
      </c>
      <c r="B12" s="18">
        <f>-Assumptions!B30</f>
        <v>-62845000000</v>
      </c>
    </row>
    <row r="13" spans="1:2" x14ac:dyDescent="0.25">
      <c r="A13" t="s">
        <v>64</v>
      </c>
      <c r="B13" s="18">
        <f>B11+B12</f>
        <v>265310019037.391</v>
      </c>
    </row>
    <row r="14" spans="1:2" x14ac:dyDescent="0.25">
      <c r="A14" s="19" t="s">
        <v>65</v>
      </c>
      <c r="B14" s="24">
        <f>B13/Assumptions!B31</f>
        <v>275.6754146273805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14563322295.535017</v>
      </c>
    </row>
    <row r="18" spans="1:2" x14ac:dyDescent="0.25">
      <c r="A18" t="s">
        <v>60</v>
      </c>
      <c r="B18" s="18">
        <f>B17*Assumptions!B13</f>
        <v>126404216467.31236</v>
      </c>
    </row>
    <row r="19" spans="1:2" x14ac:dyDescent="0.25">
      <c r="A19" t="s">
        <v>61</v>
      </c>
      <c r="B19" s="18">
        <f>B18/(1+Assumptions!B26)^(5-0.5*Assumptions!B32)</f>
        <v>107183170643.39319</v>
      </c>
    </row>
    <row r="20" spans="1:2" x14ac:dyDescent="0.25">
      <c r="A20" t="s">
        <v>62</v>
      </c>
      <c r="B20" s="18">
        <f>Forecast!B17+B19</f>
        <v>146295528111.91476</v>
      </c>
    </row>
    <row r="21" spans="1:2" x14ac:dyDescent="0.25">
      <c r="A21" t="s">
        <v>63</v>
      </c>
      <c r="B21" s="18">
        <f>-Assumptions!B30</f>
        <v>-62845000000</v>
      </c>
    </row>
    <row r="22" spans="1:2" x14ac:dyDescent="0.25">
      <c r="A22" t="s">
        <v>64</v>
      </c>
      <c r="B22" s="18">
        <f>B20+B21</f>
        <v>83450528111.91476</v>
      </c>
    </row>
    <row r="23" spans="1:2" x14ac:dyDescent="0.25">
      <c r="A23" s="19" t="s">
        <v>65</v>
      </c>
      <c r="B23" s="25">
        <f>B22/Assumptions!B31</f>
        <v>86.71085630913836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43.995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275.6754146273805</v>
      </c>
    </row>
    <row r="29" spans="1:2" x14ac:dyDescent="0.25">
      <c r="A29" s="19" t="s">
        <v>73</v>
      </c>
      <c r="B29" s="12">
        <f>B28/B26-1</f>
        <v>5.266062384984215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0.017335</v>
      </c>
      <c r="B5" s="31">
        <v>2172.412466175682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0.027335</v>
      </c>
      <c r="B6" s="31">
        <v>373.923602349852</v>
      </c>
      <c r="C6" s="31">
        <v>574.7659425491672</v>
      </c>
      <c r="D6" s="31">
        <v>1633.4827821345318</v>
      </c>
      <c r="E6" s="31" t="s">
        <v>76</v>
      </c>
      <c r="F6" s="31" t="s">
        <v>76</v>
      </c>
    </row>
    <row r="7" spans="1:6" x14ac:dyDescent="0.25">
      <c r="A7" s="30">
        <v>0.037335</v>
      </c>
      <c r="B7" s="31">
        <v>185.5820487264398</v>
      </c>
      <c r="C7" s="31">
        <v>217.7784137974582</v>
      </c>
      <c r="D7" s="32">
        <v>275.66612017798104</v>
      </c>
      <c r="E7" s="31">
        <v>411.78369815329336</v>
      </c>
      <c r="F7" s="31">
        <v>1128.678502722045</v>
      </c>
    </row>
    <row r="8" spans="1:6" x14ac:dyDescent="0.25">
      <c r="A8" s="30">
        <v>0.047335</v>
      </c>
      <c r="B8" s="31">
        <v>113.52623619769413</v>
      </c>
      <c r="C8" s="31">
        <v>121.6907926293034</v>
      </c>
      <c r="D8" s="31">
        <v>133.29382920798085</v>
      </c>
      <c r="E8" s="31">
        <v>151.31066766467683</v>
      </c>
      <c r="F8" s="31">
        <v>183.54082386240535</v>
      </c>
    </row>
    <row r="9" spans="1:6" x14ac:dyDescent="0.25">
      <c r="A9" s="30">
        <v>0.057335</v>
      </c>
      <c r="B9" s="31">
        <v>75.36112280841768</v>
      </c>
      <c r="C9" s="31">
        <v>76.87294861983045</v>
      </c>
      <c r="D9" s="31">
        <v>78.70869750355408</v>
      </c>
      <c r="E9" s="31">
        <v>81.04612128269677</v>
      </c>
      <c r="F9" s="31">
        <v>84.22214063920555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132214000000</v>
      </c>
      <c r="C5" s="18">
        <v>145594000000</v>
      </c>
      <c r="D5" s="18">
        <v>152390000000</v>
      </c>
      <c r="E5" s="18">
        <v>150017000000</v>
      </c>
      <c r="F5" s="8" t="s">
        <v>85</v>
      </c>
    </row>
    <row r="6" spans="1:6" x14ac:dyDescent="0.25">
      <c r="A6" t="s">
        <v>44</v>
      </c>
      <c r="B6" s="18">
        <v>4870000000</v>
      </c>
      <c r="C6" s="18">
        <v>12301000000</v>
      </c>
      <c r="D6" s="18">
        <v>17522000000</v>
      </c>
      <c r="E6" s="18">
        <v>17884000000</v>
      </c>
      <c r="F6" s="8" t="s">
        <v>86</v>
      </c>
    </row>
    <row r="7" spans="1:6" x14ac:dyDescent="0.25">
      <c r="A7" t="s">
        <v>87</v>
      </c>
      <c r="B7" s="18">
        <v>7223000000</v>
      </c>
      <c r="C7" s="18">
        <v>6772000000</v>
      </c>
      <c r="D7" s="18">
        <v>6663000000</v>
      </c>
      <c r="E7" s="18">
        <v>6521000000</v>
      </c>
      <c r="F7" s="8" t="s">
        <v>88</v>
      </c>
    </row>
    <row r="8" spans="1:6" x14ac:dyDescent="0.25">
      <c r="A8" t="s">
        <v>89</v>
      </c>
      <c r="B8" s="18">
        <v>9742000000</v>
      </c>
      <c r="C8" s="18">
        <v>8665000000</v>
      </c>
      <c r="D8" s="18">
        <v>8213000000</v>
      </c>
      <c r="E8" s="18">
        <v>6899000000</v>
      </c>
      <c r="F8" s="8" t="s">
        <v>90</v>
      </c>
    </row>
    <row r="9" spans="1:6" x14ac:dyDescent="0.25">
      <c r="A9" t="s">
        <v>91</v>
      </c>
      <c r="B9" s="18">
        <v>-5972000000</v>
      </c>
      <c r="C9" s="18">
        <v>-694000000</v>
      </c>
      <c r="D9" s="18">
        <v>6251000000</v>
      </c>
      <c r="E9" s="18">
        <v>4241000000</v>
      </c>
      <c r="F9" s="8" t="s">
        <v>92</v>
      </c>
    </row>
    <row r="10" spans="1:6" x14ac:dyDescent="0.25">
      <c r="A10" t="s">
        <v>93</v>
      </c>
      <c r="B10" s="18">
        <v>82267000000</v>
      </c>
      <c r="C10" s="18">
        <v>93042000000</v>
      </c>
      <c r="D10" s="18">
        <v>87964000000</v>
      </c>
      <c r="E10" s="18">
        <v>84414000000</v>
      </c>
      <c r="F10" s="8" t="s">
        <v>94</v>
      </c>
    </row>
    <row r="11" spans="1:6" x14ac:dyDescent="0.25">
      <c r="A11" t="s">
        <v>95</v>
      </c>
      <c r="B11" s="18">
        <v>19422000000</v>
      </c>
      <c r="C11" s="18">
        <v>21741000000</v>
      </c>
      <c r="D11" s="18">
        <v>22353000000</v>
      </c>
      <c r="E11" s="18">
        <v>24358000000</v>
      </c>
      <c r="F11" s="8" t="s">
        <v>96</v>
      </c>
    </row>
    <row r="12" spans="1:6" x14ac:dyDescent="0.25">
      <c r="A12" t="s">
        <v>32</v>
      </c>
      <c r="B12" s="34">
        <v>962400000</v>
      </c>
      <c r="C12" s="34">
        <v>1002000000</v>
      </c>
      <c r="D12" s="34">
        <v>1059600000</v>
      </c>
      <c r="E12" s="34">
        <v>1069800000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2026-09-19T00:08:12Z</dcterms:modified>
</cp:coreProperties>
</file>