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<sst xmlns="http://schemas.openxmlformats.org/spreadsheetml/2006/main" count="120" uniqueCount="107">
  <si>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McDonald's Corporation (MCD)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</si>
  <si>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</si>
  <si>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</si>
  <si>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</si>
  <si>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</si>
  <si>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</si>
  <si>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</si>
  <si>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</si>
  <si>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</si>
  <si>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</si>
  <si>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</si>
  <si>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</si>
  <si>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</si>
  <si>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</si>
  <si>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</si>
  <si>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</si>
  <si>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</si>
  <si>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</si>
  <si>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</si>
  <si>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</si>
  <si>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</si>
  <si>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</si>
  <si>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</si>
  <si>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</si>
  <si>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7.8x interest cover. Book interest / average debt was lower, at 3.0%.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</si>
  <si>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</si>
  <si>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</si>
  <si>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</si>
  <si>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</si>
  <si>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</si>
  <si>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</si>
  <si>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</si>
  <si>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</si>
  <si>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</si>
  <si>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</si>
  <si>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</si>
  <si>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</si>
  <si>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</si>
  <si>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</si>
  <si>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</si>
  <si>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</si>
  <si>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</si>
  <si>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</si>
  <si>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</si>
  <si>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</si>
  <si>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</si>
  <si>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</si>
  <si>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</si>
  <si>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</si>
  <si>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</si>
  <si>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</si>
  <si>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</si>
  <si>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</si>
  <si>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</si>
  <si>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</si>
  <si>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</si>
  <si>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</si>
  <si>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</si>
  <si>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</si>
  <si>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</si>
  <si>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</si>
  <si>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</si>
  <si>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</si>
  <si>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</si>
  <si>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</si>
  <si>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</si>
  <si>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</si>
  <si>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</si>
  <si>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</si>
  <si>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</si>
  <si>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</si>
  <si>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</si>
  <si>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</si>
  <si>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</si>
  <si>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</si>
  <si>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</si>
  <si>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</si>
  <si>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</si>
  <si>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</si>
  <si>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</si>
  <si>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</si>
  <si>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</si>
  <si>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</si>
  <si>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</si>
  <si>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</si>
  <si>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</si>
  <si>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</si>
  <si>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</si>
  <si>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</si>
  <si>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</si>
  <si>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</si>
  <si>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</si>
  <si>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</si>
  <si>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</si>
  <si>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</si>
  <si>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</si>
  <si>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</si>
  <si>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</si>
  <si>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</si>
  <si>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</si>
  <si>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</si>
  <si>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</si>
  <si>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</si>
  <si>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</si>
  <si>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</si>
  <si>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10.2% of revenue against depreciation of 8.0%.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</si>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</sst>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0.04733976083317826</v>
      </c>
    </row>
    <row r="7" spans="1:2" x14ac:dyDescent="0.25">
      <c r="A7" t="s">
        <v>4</v>
      </c>
      <c r="B7" s="5">
        <v>0.45630586930830574</v>
      </c>
    </row>
    <row r="8" spans="1:2" x14ac:dyDescent="0.25">
      <c r="A8" t="s">
        <v>5</v>
      </c>
      <c r="B8" s="5">
        <v>0.2078168058221394</v>
      </c>
    </row>
    <row r="9" spans="1:2" x14ac:dyDescent="0.25">
      <c r="A9" t="s">
        <v>6</v>
      </c>
      <c r="B9" s="5">
        <v>0.08024715248266673</v>
      </c>
    </row>
    <row r="10" spans="1:3" x14ac:dyDescent="0.25">
      <c r="A10" t="s">
        <v>7</v>
      </c>
      <c r="B10" s="5">
        <v>0.1016473549516405</v>
      </c>
      <c r="C10" s="6" t="s">
        <v>8</v>
      </c>
    </row>
    <row r="11" spans="1:2" x14ac:dyDescent="0.25">
      <c r="A11" t="s">
        <v>9</v>
      </c>
      <c r="B11" s="5">
        <v>0.05282674749791637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16.219861178373193</v>
      </c>
    </row>
    <row r="14" spans="1:3" x14ac:dyDescent="0.25">
      <c r="A14" t="s">
        <v>12</v>
      </c>
      <c r="B14" s="5">
        <v>0.26988252084249686</v>
      </c>
      <c r="C14" s="6" t="s">
        <v>13</v>
      </c>
    </row>
    <row r="15" spans="1:3" x14ac:dyDescent="0.25">
      <c r="A15" t="s">
        <v>14</v>
      </c>
      <c r="B15" s="5">
        <v>0.08024715248266673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0.62949</v>
      </c>
      <c r="C19" s="6" t="s">
        <v>21</v>
      </c>
    </row>
    <row r="20" spans="1:2" x14ac:dyDescent="0.25">
      <c r="A20" t="s">
        <v>22</v>
      </c>
      <c r="B20" s="9">
        <f>B17+B19*B18</f>
        <v>0.075567427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182656434176</v>
      </c>
    </row>
    <row r="23" spans="1:2" x14ac:dyDescent="0.25">
      <c r="A23" t="s">
        <v>26</v>
      </c>
      <c r="B23" s="10">
        <v>54814000000</v>
      </c>
    </row>
    <row r="24" spans="1:2" x14ac:dyDescent="0.25">
      <c r="A24" t="s">
        <v>27</v>
      </c>
      <c r="B24" s="9">
        <f>B22/(B22+B23)</f>
        <v>0.7691754757168007</v>
      </c>
    </row>
    <row r="25" spans="1:2" x14ac:dyDescent="0.25">
      <c r="A25" t="s">
        <v>28</v>
      </c>
      <c r="B25" s="9">
        <f>1-B24</f>
        <v>0.23082452428319933</v>
      </c>
    </row>
    <row r="26" spans="1:2" x14ac:dyDescent="0.25">
      <c r="A26" t="s">
        <v>29</v>
      </c>
      <c r="B26" s="11">
        <f>B24*B20+B25*B21*(1-B8)</f>
        <v>0.06807925463018126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26885000000</v>
      </c>
      <c r="C29" s="6" t="s">
        <v>32</v>
      </c>
    </row>
    <row r="30" spans="1:2" x14ac:dyDescent="0.25">
      <c r="A30" t="s">
        <v>33</v>
      </c>
      <c r="B30" s="10">
        <v>54040000000</v>
      </c>
    </row>
    <row r="31" spans="1:2" x14ac:dyDescent="0.25">
      <c r="A31" t="s">
        <v>34</v>
      </c>
      <c r="B31" s="12">
        <v>716400000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0.04733976083317826</v>
      </c>
      <c r="C5" s="5">
        <v>0.027005117398054113</v>
      </c>
      <c r="D5" s="5">
        <v>0.026754477723297348</v>
      </c>
      <c r="E5" s="5">
        <v>0.026503838048540583</v>
      </c>
      <c r="F5" s="5">
        <v>0.026253198373783822</v>
      </c>
      <c r="G5" s="5">
        <v>0.026002558699027057</v>
      </c>
      <c r="H5" s="5">
        <v>0.025751919024270292</v>
      </c>
      <c r="I5" s="5">
        <v>0.02550127934951353</v>
      </c>
      <c r="J5" s="5">
        <v>0.025250639674756766</v>
      </c>
      <c r="K5" s="5">
        <v>0.025</v>
      </c>
    </row>
    <row r="6" spans="1:11" x14ac:dyDescent="0.25">
      <c r="A6" t="s">
        <v>50</v>
      </c>
      <c r="B6" s="18">
        <f>Assumptions!B29*(1+B5)</f>
        <v>28157729469.999996</v>
      </c>
      <c r="C6" s="18">
        <f>B6*(1+C5)</f>
        <v>28918132259.999992</v>
      </c>
      <c r="D6" s="18">
        <f>C6*(1+D5)</f>
        <v>29691821785.34953</v>
      </c>
      <c r="E6" s="18">
        <f>D6*(1+E5)</f>
        <v>30478769021.31456</v>
      </c>
      <c r="F6" s="18">
        <f>E6*(1+F5)</f>
        <v>31278934190.619873</v>
      </c>
      <c r="G6" s="18">
        <f>F6*(1+G5)</f>
        <v>32092266512.95447</v>
      </c>
      <c r="H6" s="18">
        <f>G6*(1+H5)</f>
        <v>32918703961.501377</v>
      </c>
      <c r="I6" s="18">
        <f>H6*(1+I5)</f>
        <v>33758173027.04756</v>
      </c>
      <c r="J6" s="18">
        <f>I6*(1+J5)</f>
        <v>34610588490.23163</v>
      </c>
      <c r="K6" s="18">
        <f>J6*(1+K5)</f>
        <v>35475853202.48742</v>
      </c>
    </row>
    <row r="7" spans="1:11" x14ac:dyDescent="0.25">
      <c r="A7" t="s">
        <v>4</v>
      </c>
      <c r="B7" s="9">
        <f>Assumptions!B7</f>
        <v>0.45630586930830574</v>
      </c>
      <c r="C7" s="9">
        <f>Assumptions!B7</f>
        <v>0.45630586930830574</v>
      </c>
      <c r="D7" s="9">
        <f>Assumptions!B7</f>
        <v>0.45630586930830574</v>
      </c>
      <c r="E7" s="9">
        <f>Assumptions!B7</f>
        <v>0.45630586930830574</v>
      </c>
      <c r="F7" s="9">
        <f>Assumptions!B7</f>
        <v>0.45630586930830574</v>
      </c>
      <c r="G7" s="9">
        <f>Assumptions!B7</f>
        <v>0.45630586930830574</v>
      </c>
      <c r="H7" s="9">
        <f>Assumptions!B7</f>
        <v>0.45630586930830574</v>
      </c>
      <c r="I7" s="9">
        <f>Assumptions!B7</f>
        <v>0.45630586930830574</v>
      </c>
      <c r="J7" s="9">
        <f>Assumptions!B7</f>
        <v>0.45630586930830574</v>
      </c>
      <c r="K7" s="9">
        <f>Assumptions!B7</f>
        <v>0.45630586930830574</v>
      </c>
    </row>
    <row r="8" spans="1:11" x14ac:dyDescent="0.25">
      <c r="A8" t="s">
        <v>51</v>
      </c>
      <c r="B8" s="18">
        <f>B6*B7</f>
        <v>12848537223.556448</v>
      </c>
      <c r="C8" s="18">
        <f>C6*C7</f>
        <v>13195513479.671856</v>
      </c>
      <c r="D8" s="18">
        <f>D6*D7</f>
        <v>13548552551.111208</v>
      </c>
      <c r="E8" s="18">
        <f>E6*E7</f>
        <v>13907641193.717999</v>
      </c>
      <c r="F8" s="18">
        <f>F6*F7</f>
        <v>14272761256.888088</v>
      </c>
      <c r="G8" s="18">
        <f>G6*G7</f>
        <v>14643889569.26752</v>
      </c>
      <c r="H8" s="18">
        <f>H6*H7</f>
        <v>15020997827.655655</v>
      </c>
      <c r="I8" s="18">
        <f>I6*I7</f>
        <v>15404052489.367136</v>
      </c>
      <c r="J8" s="18">
        <f>J6*J7</f>
        <v>15793014668.307184</v>
      </c>
      <c r="K8" s="18">
        <f>K6*K7</f>
        <v>16187840035.014864</v>
      </c>
    </row>
    <row r="9" spans="1:11" x14ac:dyDescent="0.25">
      <c r="A9" t="s">
        <v>52</v>
      </c>
      <c r="B9" s="18">
        <f>B8*(1-Assumptions!B8)</f>
        <v>10178395258.270086</v>
      </c>
      <c r="C9" s="18">
        <f>C8*(1-Assumptions!B8)</f>
        <v>10453264017.143467</v>
      </c>
      <c r="D9" s="18">
        <f>D8*(1-Assumptions!B8)</f>
        <v>10732935636.425879</v>
      </c>
      <c r="E9" s="18">
        <f>E8*(1-Assumptions!B8)</f>
        <v>11017399624.319117</v>
      </c>
      <c r="F9" s="18">
        <f>F8*(1-Assumptions!B8)</f>
        <v>11306641602.219622</v>
      </c>
      <c r="G9" s="18">
        <f>G8*(1-Assumptions!B8)</f>
        <v>11600643214.170198</v>
      </c>
      <c r="H9" s="18">
        <f>H8*(1-Assumptions!B8)</f>
        <v>11899382038.850962</v>
      </c>
      <c r="I9" s="18">
        <f>I8*(1-Assumptions!B8)</f>
        <v>12202831504.310282</v>
      </c>
      <c r="J9" s="18">
        <f>J8*(1-Assumptions!B8)</f>
        <v>12510960805.63739</v>
      </c>
      <c r="K9" s="18">
        <f>K8*(1-Assumptions!B8)</f>
        <v>12823734825.778324</v>
      </c>
    </row>
    <row r="10" spans="1:11" x14ac:dyDescent="0.25">
      <c r="A10" t="s">
        <v>53</v>
      </c>
      <c r="B10" s="18">
        <f>B6*Assumptions!B9</f>
        <v>2259577610.3447685</v>
      </c>
      <c r="C10" s="18">
        <f>C6*Assumptions!B9</f>
        <v>2320597768.9821434</v>
      </c>
      <c r="D10" s="18">
        <f>D6*Assumptions!B9</f>
        <v>2382684150.2971096</v>
      </c>
      <c r="E10" s="18">
        <f>E6*Assumptions!B9</f>
        <v>2445834425.1374083</v>
      </c>
      <c r="F10" s="18">
        <f>F6*Assumptions!B9</f>
        <v>2510045401.4899707</v>
      </c>
      <c r="G10" s="18">
        <f>G6*Assumptions!B9</f>
        <v>2575313004.3794365</v>
      </c>
      <c r="H10" s="18">
        <f>H6*Assumptions!B9</f>
        <v>2641632256.330366</v>
      </c>
      <c r="I10" s="18">
        <f>I6*Assumptions!B9</f>
        <v>2708997258.4377327</v>
      </c>
      <c r="J10" s="18">
        <f>J6*Assumptions!B9</f>
        <v>2777401172.0904474</v>
      </c>
      <c r="K10" s="18">
        <f>K6*Assumptions!B9</f>
        <v>2846836201.392709</v>
      </c>
    </row>
    <row r="11" spans="1:11" x14ac:dyDescent="0.25">
      <c r="A11" t="s">
        <v>54</v>
      </c>
      <c r="B11" s="18">
        <f>-B6*B19</f>
        <v>-2862158722.069358</v>
      </c>
      <c r="C11" s="18">
        <f>-C6*C19</f>
        <v>-2978280793.6043763</v>
      </c>
      <c r="D11" s="18">
        <f>-D6*D19</f>
        <v>-3097831133.324903</v>
      </c>
      <c r="E11" s="18">
        <f>-E6*E19</f>
        <v>-3220860195.377096</v>
      </c>
      <c r="F11" s="18">
        <f>-F6*F19</f>
        <v>-3347417127.2997603</v>
      </c>
      <c r="G11" s="18">
        <f>-G6*G19</f>
        <v>-3477549670.6918936</v>
      </c>
      <c r="H11" s="18">
        <f>-H6*H19</f>
        <v>-3611304060.6327744</v>
      </c>
      <c r="I11" s="18">
        <f>-I6*I19</f>
        <v>-3748724923.9823036</v>
      </c>
      <c r="J11" s="18">
        <f>-J6*J19</f>
        <v>-3889855176.695535</v>
      </c>
      <c r="K11" s="18">
        <f>-K6*K19</f>
        <v>-4034735920.2913475</v>
      </c>
    </row>
    <row r="12" spans="1:11" x14ac:dyDescent="0.25">
      <c r="A12" t="s">
        <v>55</v>
      </c>
      <c r="B12" s="18">
        <f>-(B6-Assumptions!B29)*Assumptions!B11</f>
        <v>-67234158.34484673</v>
      </c>
      <c r="C12" s="18">
        <f>-(C6-B6)*Assumptions!B11</f>
        <v>-40169606.18404093</v>
      </c>
      <c r="D12" s="18">
        <f>-(D6-C6)*Assumptions!B11</f>
        <v>-40871501.19742275</v>
      </c>
      <c r="E12" s="18">
        <f>-(E6-D6)*Assumptions!B11</f>
        <v>-41571862.92850789</v>
      </c>
      <c r="F12" s="18">
        <f>-(F6-E6)*Assumptions!B11</f>
        <v>-42270123.35551928</v>
      </c>
      <c r="G12" s="18">
        <f>-(G6-F6)*Assumptions!B11</f>
        <v>-42965701.223863766</v>
      </c>
      <c r="H12" s="18">
        <f>-(H6-G6)*Assumptions!B11</f>
        <v>-43658002.417209625</v>
      </c>
      <c r="I12" s="18">
        <f>-(I6-H6)*Assumptions!B11</f>
        <v>-44346420.357920095</v>
      </c>
      <c r="J12" s="18">
        <f>-(J6-I6)*Assumptions!B11</f>
        <v>-45030336.43694412</v>
      </c>
      <c r="K12" s="18">
        <f>-(K6-J6)*Assumptions!B11</f>
        <v>-45709120.47319392</v>
      </c>
    </row>
    <row r="13" spans="1:11" x14ac:dyDescent="0.25">
      <c r="A13" s="19" t="s">
        <v>56</v>
      </c>
      <c r="B13" s="20">
        <f>B9+B10+B11+B12</f>
        <v>9508579988.200651</v>
      </c>
      <c r="C13" s="20">
        <f>C9+C10+C11+C12</f>
        <v>9755411386.337194</v>
      </c>
      <c r="D13" s="20">
        <f>D9+D10+D11+D12</f>
        <v>9976917152.200663</v>
      </c>
      <c r="E13" s="20">
        <f>E9+E10+E11+E12</f>
        <v>10200801991.150919</v>
      </c>
      <c r="F13" s="20">
        <f>F9+F10+F11+F12</f>
        <v>10426999753.054314</v>
      </c>
      <c r="G13" s="20">
        <f>G9+G10+G11+G12</f>
        <v>10655440846.633879</v>
      </c>
      <c r="H13" s="20">
        <f>H9+H10+H11+H12</f>
        <v>10886052232.131344</v>
      </c>
      <c r="I13" s="20">
        <f>I9+I10+I11+I12</f>
        <v>11118757418.407791</v>
      </c>
      <c r="J13" s="20">
        <f>J9+J10+J11+J12</f>
        <v>11353476464.595356</v>
      </c>
      <c r="K13" s="20">
        <f>K9+K10+K11+K12</f>
        <v>11590125986.40649</v>
      </c>
    </row>
    <row r="14" spans="1:11" x14ac:dyDescent="0.25">
      <c r="A14" t="s">
        <v>57</v>
      </c>
      <c r="B14" s="21">
        <f>1/(1+Assumptions!$B$26)^(1-0.5*Assumptions!$B$32)</f>
        <v>0.9676053480621934</v>
      </c>
      <c r="C14" s="21">
        <f>1/(1+Assumptions!$B$26)^(2-0.5*Assumptions!$B$32)</f>
        <v>0.9059302892248605</v>
      </c>
      <c r="D14" s="21">
        <f>1/(1+Assumptions!$B$26)^(3-0.5*Assumptions!$B$32)</f>
        <v>0.8481863918783216</v>
      </c>
      <c r="E14" s="21">
        <f>1/(1+Assumptions!$B$26)^(4-0.5*Assumptions!$B$32)</f>
        <v>0.7941230842200032</v>
      </c>
      <c r="F14" s="21">
        <f>1/(1+Assumptions!$B$26)^(5-0.5*Assumptions!$B$32)</f>
        <v>0.7435057658665655</v>
      </c>
      <c r="G14" s="21">
        <f>1/(1+Assumptions!$B$26)^(6-0.5*Assumptions!$B$32)</f>
        <v>0.6961147898373906</v>
      </c>
      <c r="H14" s="21">
        <f>1/(1+Assumptions!$B$26)^(7-0.5*Assumptions!$B$32)</f>
        <v>0.6517445094263328</v>
      </c>
      <c r="I14" s="21">
        <f>1/(1+Assumptions!$B$26)^(8-0.5*Assumptions!$B$32)</f>
        <v>0.610202385825757</v>
      </c>
      <c r="J14" s="21">
        <f>1/(1+Assumptions!$B$26)^(9-0.5*Assumptions!$B$32)</f>
        <v>0.5713081526305251</v>
      </c>
      <c r="K14" s="21">
        <f>1/(1+Assumptions!$B$26)^(10-0.5*Assumptions!$B$32)</f>
        <v>0.5348930335964054</v>
      </c>
    </row>
    <row r="15" spans="1:11" x14ac:dyDescent="0.25">
      <c r="A15" s="19" t="s">
        <v>58</v>
      </c>
      <c r="B15" s="20">
        <f>B13*B14</f>
        <v>9200552849.060099</v>
      </c>
      <c r="C15" s="20">
        <f>C13*C14</f>
        <v>8837722658.731953</v>
      </c>
      <c r="D15" s="20">
        <f>D13*D14</f>
        <v>8462285361.394019</v>
      </c>
      <c r="E15" s="20">
        <f>E13*E14</f>
        <v>8100692338.730318</v>
      </c>
      <c r="F15" s="20">
        <f>F13*F14</f>
        <v>7752534437.085136</v>
      </c>
      <c r="G15" s="20">
        <f>G13*G14</f>
        <v>7417409965.57929</v>
      </c>
      <c r="H15" s="20">
        <f>H13*H14</f>
        <v>7094924771.619878</v>
      </c>
      <c r="I15" s="20">
        <f>I13*I14</f>
        <v>6784692304.130269</v>
      </c>
      <c r="J15" s="20">
        <f>J13*J14</f>
        <v>6486333664.922118</v>
      </c>
      <c r="K15" s="20">
        <f>K13*K14</f>
        <v>6199477648.633498</v>
      </c>
    </row>
    <row r="17" spans="1:2" x14ac:dyDescent="0.25">
      <c r="A17" s="22" t="s">
        <v>59</v>
      </c>
      <c r="B17" s="23">
        <f>SUM(B15:K15)</f>
        <v>76336625999.88658</v>
      </c>
    </row>
    <row r="19" spans="1:11" x14ac:dyDescent="0.25">
      <c r="A19" t="s">
        <v>7</v>
      </c>
      <c r="B19" s="9">
        <f>Assumptions!$B$10+($B$20-Assumptions!$B$10)*0/9</f>
        <v>0.1016473549516405</v>
      </c>
      <c r="C19" s="9">
        <f>Assumptions!$B$10+($B$20-Assumptions!$B$10)*1/9</f>
        <v>0.10299008133813609</v>
      </c>
      <c r="D19" s="9">
        <f>Assumptions!$B$10+($B$20-Assumptions!$B$10)*2/9</f>
        <v>0.10433280772463169</v>
      </c>
      <c r="E19" s="9">
        <f>Assumptions!$B$10+($B$20-Assumptions!$B$10)*3/9</f>
        <v>0.10567553411112728</v>
      </c>
      <c r="F19" s="9">
        <f>Assumptions!$B$10+($B$20-Assumptions!$B$10)*4/9</f>
        <v>0.10701826049762288</v>
      </c>
      <c r="G19" s="9">
        <f>Assumptions!$B$10+($B$20-Assumptions!$B$10)*5/9</f>
        <v>0.10836098688411847</v>
      </c>
      <c r="H19" s="9">
        <f>Assumptions!$B$10+($B$20-Assumptions!$B$10)*6/9</f>
        <v>0.10970371327061407</v>
      </c>
      <c r="I19" s="9">
        <f>Assumptions!$B$10+($B$20-Assumptions!$B$10)*7/9</f>
        <v>0.11104643965710966</v>
      </c>
      <c r="J19" s="9">
        <f>Assumptions!$B$10+($B$20-Assumptions!$B$10)*8/9</f>
        <v>0.11238916604360524</v>
      </c>
      <c r="K19" s="9">
        <f>Assumptions!$B$10+($B$20-Assumptions!$B$10)*9/9</f>
        <v>0.11373189243010084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0.11373189243010084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11590125986.40649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12823734825.778324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0.09263289790667834</v>
      </c>
    </row>
    <row r="7" spans="1:2" x14ac:dyDescent="0.25">
      <c r="A7" t="s">
        <v>66</v>
      </c>
      <c r="B7" s="18">
        <f>-MAX(B5,0)*B6</f>
        <v>-1187899718.898639</v>
      </c>
    </row>
    <row r="8" spans="1:2" x14ac:dyDescent="0.25">
      <c r="A8" t="s">
        <v>67</v>
      </c>
      <c r="B8" s="18">
        <f>IF(OR(Assumptions!$B$33=0,Assumptions!B12&lt;=0),B5,MAX(B5+B7,0))</f>
        <v>11635835106.879684</v>
      </c>
    </row>
    <row r="9" spans="1:2" x14ac:dyDescent="0.25">
      <c r="A9" t="s">
        <v>68</v>
      </c>
      <c r="B9" s="18">
        <f>B8*(1+Assumptions!B12)/(Assumptions!B26-Assumptions!B12)</f>
        <v>276855555810.7504</v>
      </c>
    </row>
    <row r="10" spans="1:2" x14ac:dyDescent="0.25">
      <c r="A10" t="s">
        <v>69</v>
      </c>
      <c r="B10" s="18">
        <f>B9/(1+Assumptions!B26)^(10-0.5*Assumptions!B32)</f>
        <v>148088108115.63123</v>
      </c>
    </row>
    <row r="11" spans="1:2" x14ac:dyDescent="0.25">
      <c r="A11" t="s">
        <v>70</v>
      </c>
      <c r="B11" s="18">
        <f>Forecast!B17+B10</f>
        <v>224424734115.51782</v>
      </c>
    </row>
    <row r="12" spans="1:2" x14ac:dyDescent="0.25">
      <c r="A12" t="s">
        <v>71</v>
      </c>
      <c r="B12" s="18">
        <f>-Assumptions!B30</f>
        <v>-54040000000</v>
      </c>
    </row>
    <row r="13" spans="1:2" x14ac:dyDescent="0.25">
      <c r="A13" t="s">
        <v>72</v>
      </c>
      <c r="B13" s="18">
        <f>B11+B12</f>
        <v>170384734115.51782</v>
      </c>
    </row>
    <row r="14" spans="1:2" x14ac:dyDescent="0.25">
      <c r="A14" s="19" t="s">
        <v>73</v>
      </c>
      <c r="B14" s="24">
        <f>B13/Assumptions!B31</f>
        <v>237.83463723550784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19034676236.407574</v>
      </c>
    </row>
    <row r="18" spans="1:2" x14ac:dyDescent="0.25">
      <c r="A18" t="s">
        <v>68</v>
      </c>
      <c r="B18" s="18">
        <f>B17*Assumptions!B13</f>
        <v>308739806129.81</v>
      </c>
    </row>
    <row r="19" spans="1:2" x14ac:dyDescent="0.25">
      <c r="A19" t="s">
        <v>69</v>
      </c>
      <c r="B19" s="18">
        <f>B18/(1+Assumptions!B26)^(10-0.5*Assumptions!B32)</f>
        <v>165142771492.74014</v>
      </c>
    </row>
    <row r="20" spans="1:2" x14ac:dyDescent="0.25">
      <c r="A20" t="s">
        <v>70</v>
      </c>
      <c r="B20" s="18">
        <f>Forecast!B17+B19</f>
        <v>241479397492.6267</v>
      </c>
    </row>
    <row r="21" spans="1:2" x14ac:dyDescent="0.25">
      <c r="A21" t="s">
        <v>71</v>
      </c>
      <c r="B21" s="18">
        <f>-Assumptions!B30</f>
        <v>-54040000000</v>
      </c>
    </row>
    <row r="22" spans="1:2" x14ac:dyDescent="0.25">
      <c r="A22" t="s">
        <v>72</v>
      </c>
      <c r="B22" s="18">
        <f>B20+B21</f>
        <v>187439397492.6267</v>
      </c>
    </row>
    <row r="23" spans="1:2" x14ac:dyDescent="0.25">
      <c r="A23" s="19" t="s">
        <v>73</v>
      </c>
      <c r="B23" s="25">
        <f>B22/Assumptions!B31</f>
        <v>261.64070001762525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258.12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237.83463723550784</v>
      </c>
    </row>
    <row r="29" spans="1:2" x14ac:dyDescent="0.25">
      <c r="A29" s="19" t="s">
        <v>81</v>
      </c>
      <c r="B29" s="11">
        <f>B28/B26-1</f>
        <v>-0.07858888410232512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0.048079</v>
      </c>
      <c r="B5" s="31">
        <v>375.35382120740917</v>
      </c>
      <c r="C5" s="31">
        <v>427.5697138078738</v>
      </c>
      <c r="D5" s="31">
        <v>502.80651571884624</v>
      </c>
      <c r="E5" s="31">
        <v>620.1644891040315</v>
      </c>
      <c r="F5" s="31">
        <v>827.9514229467758</v>
      </c>
    </row>
    <row r="6" spans="1:6" x14ac:dyDescent="0.25">
      <c r="A6" s="30">
        <v>0.058079</v>
      </c>
      <c r="B6" s="31">
        <v>271.0009382390648</v>
      </c>
      <c r="C6" s="31">
        <v>296.6371968990724</v>
      </c>
      <c r="D6" s="31">
        <v>330.28433224045193</v>
      </c>
      <c r="E6" s="31">
        <v>376.2218111324143</v>
      </c>
      <c r="F6" s="31">
        <v>442.43763796244343</v>
      </c>
    </row>
    <row r="7" spans="1:6" x14ac:dyDescent="0.25">
      <c r="A7" s="30">
        <v>0.068079</v>
      </c>
      <c r="B7" s="31">
        <v>206.0249058466699</v>
      </c>
      <c r="C7" s="31">
        <v>220.19175197100955</v>
      </c>
      <c r="D7" s="32">
        <v>237.83644505234037</v>
      </c>
      <c r="E7" s="31">
        <v>260.3289712865937</v>
      </c>
      <c r="F7" s="31">
        <v>289.8676286058059</v>
      </c>
    </row>
    <row r="8" spans="1:6" x14ac:dyDescent="0.25">
      <c r="A8" s="30">
        <v>0.078079</v>
      </c>
      <c r="B8" s="31">
        <v>161.69423052900996</v>
      </c>
      <c r="C8" s="31">
        <v>170.08693578454807</v>
      </c>
      <c r="D8" s="31">
        <v>180.20609152055263</v>
      </c>
      <c r="E8" s="31">
        <v>192.5903270181444</v>
      </c>
      <c r="F8" s="31">
        <v>208.02833738221918</v>
      </c>
    </row>
    <row r="9" spans="1:6" x14ac:dyDescent="0.25">
      <c r="A9" s="30">
        <v>0.088079</v>
      </c>
      <c r="B9" s="31">
        <v>129.5304808815051</v>
      </c>
      <c r="C9" s="31">
        <v>134.7139738456503</v>
      </c>
      <c r="D9" s="31">
        <v>140.83492580826262</v>
      </c>
      <c r="E9" s="31">
        <v>148.13545328266048</v>
      </c>
      <c r="F9" s="31">
        <v>156.948901521708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26885000000</v>
      </c>
      <c r="C5" s="18">
        <v>25920000000</v>
      </c>
      <c r="D5" s="18">
        <v>25495000000</v>
      </c>
      <c r="E5" s="18">
        <v>23182000000</v>
      </c>
      <c r="F5" s="6" t="s">
        <v>91</v>
      </c>
    </row>
    <row r="6" spans="1:6" x14ac:dyDescent="0.25">
      <c r="A6" t="s">
        <v>51</v>
      </c>
      <c r="B6" s="18">
        <v>12394000000</v>
      </c>
      <c r="C6" s="18">
        <v>11851000000</v>
      </c>
      <c r="D6" s="18">
        <v>11747000000</v>
      </c>
      <c r="E6" s="18">
        <v>10345000000</v>
      </c>
      <c r="F6" s="6" t="s">
        <v>92</v>
      </c>
    </row>
    <row r="7" spans="1:6" x14ac:dyDescent="0.25">
      <c r="A7" t="s">
        <v>93</v>
      </c>
      <c r="B7" s="18">
        <v>2199000000</v>
      </c>
      <c r="C7" s="18">
        <v>2097000000</v>
      </c>
      <c r="D7" s="18">
        <v>1978000000</v>
      </c>
      <c r="E7" s="18">
        <v>1871000000</v>
      </c>
      <c r="F7" s="6" t="s">
        <v>94</v>
      </c>
    </row>
    <row r="8" spans="1:6" x14ac:dyDescent="0.25">
      <c r="A8" t="s">
        <v>95</v>
      </c>
      <c r="B8" s="18">
        <v>3365000000</v>
      </c>
      <c r="C8" s="18">
        <v>2775000000</v>
      </c>
      <c r="D8" s="18">
        <v>2357000000</v>
      </c>
      <c r="E8" s="18">
        <v>1899000000</v>
      </c>
      <c r="F8" s="6" t="s">
        <v>96</v>
      </c>
    </row>
    <row r="9" spans="1:6" x14ac:dyDescent="0.25">
      <c r="A9" t="s">
        <v>97</v>
      </c>
      <c r="B9" s="18">
        <v>-106000000</v>
      </c>
      <c r="C9" s="18">
        <v>438000000</v>
      </c>
      <c r="D9" s="18">
        <v>108000000</v>
      </c>
      <c r="E9" s="18">
        <v>645000000</v>
      </c>
      <c r="F9" s="6" t="s">
        <v>98</v>
      </c>
    </row>
    <row r="10" spans="1:6" x14ac:dyDescent="0.25">
      <c r="A10" t="s">
        <v>99</v>
      </c>
      <c r="B10" s="18">
        <v>54814000000</v>
      </c>
      <c r="C10" s="18">
        <v>51948000000</v>
      </c>
      <c r="D10" s="18">
        <v>53091000000</v>
      </c>
      <c r="E10" s="18">
        <v>48699000000</v>
      </c>
      <c r="F10" s="6" t="s">
        <v>100</v>
      </c>
    </row>
    <row r="11" spans="1:6" x14ac:dyDescent="0.25">
      <c r="A11" t="s">
        <v>101</v>
      </c>
      <c r="B11" s="18">
        <v>774000000</v>
      </c>
      <c r="C11" s="18">
        <v>1085000000</v>
      </c>
      <c r="D11" s="18">
        <v>4579000000</v>
      </c>
      <c r="E11" s="18">
        <v>2583800000</v>
      </c>
      <c r="F11" s="6" t="s">
        <v>102</v>
      </c>
    </row>
    <row r="12" spans="1:6" x14ac:dyDescent="0.25">
      <c r="A12" t="s">
        <v>34</v>
      </c>
      <c r="B12" s="34">
        <v>716400000</v>
      </c>
      <c r="C12" s="34">
        <v>721900000</v>
      </c>
      <c r="D12" s="34">
        <v>732300000</v>
      </c>
      <c r="E12" s="34">
        <v>741300000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