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<sst xmlns="http://schemas.openxmlformats.org/spreadsheetml/2006/main" count="113" uniqueCount="101">
  <si>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Microchip Technology Incorporated (MCHP)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</si>
  <si>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</si>
  <si>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</si>
  <si>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</si>
  <si>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</si>
  <si>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</si>
  <si>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</si>
  <si>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</si>
  <si>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</si>
  <si>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</si>
  <si>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</si>
  <si>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</si>
  <si>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</si>
  <si>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</si>
  <si>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</si>
  <si>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</si>
  <si>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</si>
  <si>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</si>
  <si>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</si>
  <si>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</si>
  <si>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</si>
  <si>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</si>
  <si>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</si>
  <si>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</si>
  <si>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</si>
  <si>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</si>
  <si>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</si>
  <si>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</si>
  <si>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</si>
  <si>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</si>
  <si>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</si>
  <si>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</si>
  <si>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</si>
  <si>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</si>
  <si>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</si>
  <si>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</si>
  <si>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</si>
  <si>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</si>
  <si>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</si>
  <si>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</si>
  <si>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</si>
  <si>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</si>
  <si>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</si>
  <si>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</si>
  <si>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</si>
  <si>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</si>
  <si>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</si>
  <si>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</si>
  <si>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</si>
  <si>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</si>
  <si>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</si>
  <si>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</si>
  <si>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</si>
  <si>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</si>
  <si>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</si>
  <si>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</si>
  <si>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</si>
  <si>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</si>
  <si>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</si>
  <si>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</si>
  <si>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</si>
  <si>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</si>
  <si>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</si>
  <si>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</si>
  <si>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</si>
  <si>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</si>
  <si>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</si>
  <si>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</si>
  <si>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</si>
  <si>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</si>
  <si>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</si>
  <si>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</si>
  <si>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</si>
  <si>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</si>
  <si>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</si>
  <si>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</si>
  <si>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</si>
  <si>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</si>
  <si>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</si>
  <si>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</si>
  <si>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</si>
  <si>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</si>
  <si>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</si>
  <si>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</si>
  <si>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</si>
  <si>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</si>
  <si>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</si>
  <si>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</si>
  <si>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</si>
  <si>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</si>
  <si>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</si>
  <si>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</si>
  <si>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</si>
  <si>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</si>
  <si>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</si>
  <si>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</si>
  <si>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</si>
  <si>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</si>
  <si>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0.5%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</si>
  <si>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37.0x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</si>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</sst>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-0.1764745300112236</v>
      </c>
    </row>
    <row r="7" spans="1:2" x14ac:dyDescent="0.25">
      <c r="A7" t="s">
        <v>5</v>
      </c>
      <c r="B7" s="6">
        <v>0.2254127998165452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0.13754538609622075</v>
      </c>
    </row>
    <row r="10" spans="1:2" x14ac:dyDescent="0.25">
      <c r="A10" t="s">
        <v>8</v>
      </c>
      <c r="B10" s="6">
        <v>0.03572867356701835</v>
      </c>
    </row>
    <row r="11" spans="1:2" x14ac:dyDescent="0.25">
      <c r="A11" t="s">
        <v>9</v>
      </c>
      <c r="B11" s="6">
        <v>0.030963870329126453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0.12079004937447194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1.4931200000000002</v>
      </c>
      <c r="C19" s="8" t="s">
        <v>19</v>
      </c>
    </row>
    <row r="20" spans="1:2" x14ac:dyDescent="0.25">
      <c r="A20" t="s">
        <v>20</v>
      </c>
      <c r="B20" s="10">
        <f>B17+B19*B18</f>
        <v>0.1321016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39786246144</v>
      </c>
    </row>
    <row r="23" spans="1:2" x14ac:dyDescent="0.25">
      <c r="A23" t="s">
        <v>24</v>
      </c>
      <c r="B23" s="11">
        <v>5535200000</v>
      </c>
    </row>
    <row r="24" spans="1:2" x14ac:dyDescent="0.25">
      <c r="A24" t="s">
        <v>25</v>
      </c>
      <c r="B24" s="10">
        <f>B22/(B22+B23)</f>
        <v>0.8778679748564733</v>
      </c>
    </row>
    <row r="25" spans="1:2" x14ac:dyDescent="0.25">
      <c r="A25" t="s">
        <v>26</v>
      </c>
      <c r="B25" s="10">
        <f>1-B24</f>
        <v>0.12213202514352672</v>
      </c>
    </row>
    <row r="26" spans="1:2" x14ac:dyDescent="0.25">
      <c r="A26" t="s">
        <v>27</v>
      </c>
      <c r="B26" s="12">
        <f>B24*B20+B25*B21*(1-B8)</f>
        <v>0.12079004937447194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4713100000</v>
      </c>
      <c r="C29" s="8" t="s">
        <v>30</v>
      </c>
    </row>
    <row r="30" spans="1:2" x14ac:dyDescent="0.25">
      <c r="A30" t="s">
        <v>31</v>
      </c>
      <c r="B30" s="11">
        <v>5294900000</v>
      </c>
    </row>
    <row r="31" spans="1:2" x14ac:dyDescent="0.25">
      <c r="A31" t="s">
        <v>32</v>
      </c>
      <c r="B31" s="13">
        <v>545200000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-0.1764745300112236</v>
      </c>
      <c r="C5" s="10">
        <f>Assumptions!B6</f>
        <v>-0.1764745300112236</v>
      </c>
      <c r="D5" s="10">
        <f>Assumptions!B6</f>
        <v>-0.1764745300112236</v>
      </c>
      <c r="E5" s="10">
        <f>Assumptions!B6</f>
        <v>-0.1764745300112236</v>
      </c>
      <c r="F5" s="10">
        <f>Assumptions!B6</f>
        <v>-0.1764745300112236</v>
      </c>
    </row>
    <row r="6" spans="1:6" x14ac:dyDescent="0.25">
      <c r="A6" t="s">
        <v>43</v>
      </c>
      <c r="B6" s="18">
        <f>Assumptions!B29*(1+B5)</f>
        <v>3881357892.604102</v>
      </c>
      <c r="C6" s="18">
        <f>B6*(1+C5)</f>
        <v>3196397082.70144</v>
      </c>
      <c r="D6" s="18">
        <f>C6*(1+D5)</f>
        <v>2632314409.802457</v>
      </c>
      <c r="E6" s="18">
        <f>D6*(1+E5)</f>
        <v>2167777961.490797</v>
      </c>
      <c r="F6" s="18">
        <f>E6*(1+F5)</f>
        <v>1785220364.5680203</v>
      </c>
    </row>
    <row r="7" spans="1:6" x14ac:dyDescent="0.25">
      <c r="A7" t="s">
        <v>5</v>
      </c>
      <c r="B7" s="10">
        <f>Assumptions!B7</f>
        <v>0.2254127998165452</v>
      </c>
      <c r="C7" s="10">
        <f>Assumptions!B7</f>
        <v>0.2254127998165452</v>
      </c>
      <c r="D7" s="10">
        <f>Assumptions!B7</f>
        <v>0.2254127998165452</v>
      </c>
      <c r="E7" s="10">
        <f>Assumptions!B7</f>
        <v>0.2254127998165452</v>
      </c>
      <c r="F7" s="10">
        <f>Assumptions!B7</f>
        <v>0.2254127998165452</v>
      </c>
    </row>
    <row r="8" spans="1:6" x14ac:dyDescent="0.25">
      <c r="A8" t="s">
        <v>44</v>
      </c>
      <c r="B8" s="18">
        <f>B6*B7</f>
        <v>874907749.6619362</v>
      </c>
      <c r="C8" s="18">
        <f>C6*C7</f>
        <v>720508815.7371687</v>
      </c>
      <c r="D8" s="18">
        <f>D6*D7</f>
        <v>593357361.1110085</v>
      </c>
      <c r="E8" s="18">
        <f>E6*E7</f>
        <v>488644899.68024343</v>
      </c>
      <c r="F8" s="18">
        <f>F6*F7</f>
        <v>402411520.666791</v>
      </c>
    </row>
    <row r="9" spans="1:6" x14ac:dyDescent="0.25">
      <c r="A9" t="s">
        <v>45</v>
      </c>
      <c r="B9" s="18">
        <f>B8*(1-Assumptions!B8)</f>
        <v>691177122.2329296</v>
      </c>
      <c r="C9" s="18">
        <f>C8*(1-Assumptions!B8)</f>
        <v>569201964.4323633</v>
      </c>
      <c r="D9" s="18">
        <f>D8*(1-Assumptions!B8)</f>
        <v>468752315.2776967</v>
      </c>
      <c r="E9" s="18">
        <f>E8*(1-Assumptions!B8)</f>
        <v>386029470.74739236</v>
      </c>
      <c r="F9" s="18">
        <f>F8*(1-Assumptions!B8)</f>
        <v>317905101.32676494</v>
      </c>
    </row>
    <row r="10" spans="1:6" x14ac:dyDescent="0.25">
      <c r="A10" t="s">
        <v>46</v>
      </c>
      <c r="B10" s="18">
        <f>B6*Assumptions!B9</f>
        <v>533862869.9158449</v>
      </c>
      <c r="C10" s="18">
        <f>C6*Assumptions!B9</f>
        <v>439649670.85700315</v>
      </c>
      <c r="D10" s="18">
        <f>D6*Assumptions!B9</f>
        <v>362062701.8229244</v>
      </c>
      <c r="E10" s="18">
        <f>E6*Assumptions!B9</f>
        <v>298167856.68413</v>
      </c>
      <c r="F10" s="18">
        <f>F6*Assumptions!B9</f>
        <v>245548824.31134433</v>
      </c>
    </row>
    <row r="11" spans="1:6" x14ac:dyDescent="0.25">
      <c r="A11" t="s">
        <v>47</v>
      </c>
      <c r="B11" s="18">
        <f>-B6*Assumptions!B10</f>
        <v>-138675769.14162225</v>
      </c>
      <c r="C11" s="18">
        <f>-C6*Assumptions!B10</f>
        <v>-114203027.9584095</v>
      </c>
      <c r="D11" s="18">
        <f>-D6*Assumptions!B10</f>
        <v>-94049102.27359055</v>
      </c>
      <c r="E11" s="18">
        <f>-E6*Assumptions!B10</f>
        <v>-77451831.15188117</v>
      </c>
      <c r="F11" s="18">
        <f>-F6*Assumptions!B10</f>
        <v>-63783555.65084429</v>
      </c>
    </row>
    <row r="12" spans="1:6" x14ac:dyDescent="0.25">
      <c r="A12" t="s">
        <v>48</v>
      </c>
      <c r="B12" s="18">
        <f>-(B6-Assumptions!B29)*Assumptions!B11</f>
        <v>25753954.76068095</v>
      </c>
      <c r="C12" s="18">
        <f>-(C6-B6)*Assumptions!B11</f>
        <v>21209037.69835947</v>
      </c>
      <c r="D12" s="18">
        <f>-(D6-C6)*Assumptions!B11</f>
        <v>17466182.738551162</v>
      </c>
      <c r="E12" s="18">
        <f>-(E6-D6)*Assumptions!B11</f>
        <v>14383846.348675188</v>
      </c>
      <c r="F12" s="18">
        <f>-(F6-E6)*Assumptions!B11</f>
        <v>11845463.824539082</v>
      </c>
    </row>
    <row r="13" spans="1:6" x14ac:dyDescent="0.25">
      <c r="A13" s="19" t="s">
        <v>49</v>
      </c>
      <c r="B13" s="20">
        <f>B9+B10+B11+B12</f>
        <v>1112118177.7678332</v>
      </c>
      <c r="C13" s="20">
        <f>C9+C10+C11+C12</f>
        <v>915857645.0293164</v>
      </c>
      <c r="D13" s="20">
        <f>D9+D10+D11+D12</f>
        <v>754232097.5655817</v>
      </c>
      <c r="E13" s="20">
        <f>E9+E10+E11+E12</f>
        <v>621129342.6283163</v>
      </c>
      <c r="F13" s="20">
        <f>F9+F10+F11+F12</f>
        <v>511515833.811804</v>
      </c>
    </row>
    <row r="14" spans="1:6" x14ac:dyDescent="0.25">
      <c r="A14" t="s">
        <v>50</v>
      </c>
      <c r="B14" s="21">
        <f>1/(1+Assumptions!$B$26)^(1-0.5*Assumptions!$B$32)</f>
        <v>0.944578087982809</v>
      </c>
      <c r="C14" s="21">
        <f>1/(1+Assumptions!$B$26)^(2-0.5*Assumptions!$B$32)</f>
        <v>0.8427787956450815</v>
      </c>
      <c r="D14" s="21">
        <f>1/(1+Assumptions!$B$26)^(3-0.5*Assumptions!$B$32)</f>
        <v>0.7519506406355478</v>
      </c>
      <c r="E14" s="21">
        <f>1/(1+Assumptions!$B$26)^(4-0.5*Assumptions!$B$32)</f>
        <v>0.6709112389561467</v>
      </c>
      <c r="F14" s="21">
        <f>1/(1+Assumptions!$B$26)^(5-0.5*Assumptions!$B$32)</f>
        <v>0.598605634775747</v>
      </c>
    </row>
    <row r="15" spans="1:6" x14ac:dyDescent="0.25">
      <c r="A15" s="19" t="s">
        <v>51</v>
      </c>
      <c r="B15" s="20">
        <f>B13*B14</f>
        <v>1050482461.9668655</v>
      </c>
      <c r="C15" s="20">
        <f>C13*C14</f>
        <v>771865403.0601479</v>
      </c>
      <c r="D15" s="20">
        <f>D13*D14</f>
        <v>567145308.9523321</v>
      </c>
      <c r="E15" s="20">
        <f>E13*E14</f>
        <v>416722656.8147806</v>
      </c>
      <c r="F15" s="20">
        <f>F13*F14</f>
        <v>306196260.39676046</v>
      </c>
    </row>
    <row r="17" spans="1:2" x14ac:dyDescent="0.25">
      <c r="A17" s="22" t="s">
        <v>52</v>
      </c>
      <c r="B17" s="23">
        <f>SUM(B15:F15)</f>
        <v>3112412091.1908865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511515833.811804</v>
      </c>
    </row>
    <row r="5" spans="1:2" x14ac:dyDescent="0.25">
      <c r="A5" t="s">
        <v>56</v>
      </c>
      <c r="B5" s="18">
        <f>IF(Assumptions!$B$33=0,B4,B4-Forecast!F11-Forecast!F10-Forecast!F12)</f>
        <v>467995055.81575155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0.20697069112452537</v>
      </c>
    </row>
    <row r="7" spans="1:2" x14ac:dyDescent="0.25">
      <c r="A7" t="s">
        <v>58</v>
      </c>
      <c r="B7" s="18">
        <f>-MAX(Forecast!F9,0)*B6</f>
        <v>-96861260.14504693</v>
      </c>
    </row>
    <row r="8" spans="1:2" x14ac:dyDescent="0.25">
      <c r="A8" t="s">
        <v>59</v>
      </c>
      <c r="B8" s="18">
        <f>IF(OR(Assumptions!$B$33=0,Assumptions!B12&lt;=0),B5,MAX(B5+B7,0))</f>
        <v>371133795.6707046</v>
      </c>
    </row>
    <row r="9" spans="1:2" x14ac:dyDescent="0.25">
      <c r="A9" t="s">
        <v>60</v>
      </c>
      <c r="B9" s="18">
        <f>B8*(1+Assumptions!B12)/(Assumptions!B26-Assumptions!B12)</f>
        <v>3971311665.946923</v>
      </c>
    </row>
    <row r="10" spans="1:2" x14ac:dyDescent="0.25">
      <c r="A10" t="s">
        <v>61</v>
      </c>
      <c r="B10" s="18">
        <f>B9/(1+Assumptions!B26)^(5-0.5*Assumptions!B32)</f>
        <v>2377249540.686487</v>
      </c>
    </row>
    <row r="11" spans="1:2" x14ac:dyDescent="0.25">
      <c r="A11" t="s">
        <v>62</v>
      </c>
      <c r="B11" s="18">
        <f>Forecast!B17+B10</f>
        <v>5489661631.877374</v>
      </c>
    </row>
    <row r="12" spans="1:2" x14ac:dyDescent="0.25">
      <c r="A12" t="s">
        <v>63</v>
      </c>
      <c r="B12" s="18">
        <f>-Assumptions!B30</f>
        <v>-5294900000</v>
      </c>
    </row>
    <row r="13" spans="1:2" x14ac:dyDescent="0.25">
      <c r="A13" t="s">
        <v>64</v>
      </c>
      <c r="B13" s="18">
        <f>B11+B12</f>
        <v>194761631.8773737</v>
      </c>
    </row>
    <row r="14" spans="1:2" x14ac:dyDescent="0.25">
      <c r="A14" s="19" t="s">
        <v>65</v>
      </c>
      <c r="B14" s="24">
        <f>B13/Assumptions!B31</f>
        <v>0.35722969896803686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647960344.9781353</v>
      </c>
    </row>
    <row r="18" spans="1:2" x14ac:dyDescent="0.25">
      <c r="A18" t="s">
        <v>60</v>
      </c>
      <c r="B18" s="18">
        <f>B17*Assumptions!B13</f>
        <v>12959206899.562706</v>
      </c>
    </row>
    <row r="19" spans="1:2" x14ac:dyDescent="0.25">
      <c r="A19" t="s">
        <v>61</v>
      </c>
      <c r="B19" s="18">
        <f>B18/(1+Assumptions!B26)^(5-0.5*Assumptions!B32)</f>
        <v>7757454272.302974</v>
      </c>
    </row>
    <row r="20" spans="1:2" x14ac:dyDescent="0.25">
      <c r="A20" t="s">
        <v>62</v>
      </c>
      <c r="B20" s="18">
        <f>Forecast!B17+B19</f>
        <v>10869866363.49386</v>
      </c>
    </row>
    <row r="21" spans="1:2" x14ac:dyDescent="0.25">
      <c r="A21" t="s">
        <v>63</v>
      </c>
      <c r="B21" s="18">
        <f>-Assumptions!B30</f>
        <v>-5294900000</v>
      </c>
    </row>
    <row r="22" spans="1:2" x14ac:dyDescent="0.25">
      <c r="A22" t="s">
        <v>64</v>
      </c>
      <c r="B22" s="18">
        <f>B20+B21</f>
        <v>5574966363.49386</v>
      </c>
    </row>
    <row r="23" spans="1:2" x14ac:dyDescent="0.25">
      <c r="A23" s="19" t="s">
        <v>65</v>
      </c>
      <c r="B23" s="25">
        <f>B22/Assumptions!B31</f>
        <v>10.225543586745891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73.27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0.35722969896803686</v>
      </c>
    </row>
    <row r="29" spans="1:2" x14ac:dyDescent="0.25">
      <c r="A29" s="19" t="s">
        <v>73</v>
      </c>
      <c r="B29" s="12">
        <f>B28/B26-1</f>
        <v>-0.9951244752426909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0.10079</v>
      </c>
      <c r="B5" s="31">
        <v>1.8094082553900048</v>
      </c>
      <c r="C5" s="31">
        <v>1.837050151900507</v>
      </c>
      <c r="D5" s="31">
        <v>1.864692048411009</v>
      </c>
      <c r="E5" s="31">
        <v>1.8923339449215093</v>
      </c>
      <c r="F5" s="31">
        <v>1.9199758414320096</v>
      </c>
    </row>
    <row r="6" spans="1:6" x14ac:dyDescent="0.25">
      <c r="A6" s="30">
        <v>0.11079</v>
      </c>
      <c r="B6" s="31">
        <v>0.9970120030491193</v>
      </c>
      <c r="C6" s="31">
        <v>1.0211561037515282</v>
      </c>
      <c r="D6" s="31">
        <v>1.0453002044539388</v>
      </c>
      <c r="E6" s="31">
        <v>1.0694443051563496</v>
      </c>
      <c r="F6" s="31">
        <v>1.0935884058587602</v>
      </c>
    </row>
    <row r="7" spans="1:6" x14ac:dyDescent="0.25">
      <c r="A7" s="30">
        <v>0.12079</v>
      </c>
      <c r="B7" s="31">
        <v>0.3146930372502606</v>
      </c>
      <c r="C7" s="31">
        <v>0.33596293134760347</v>
      </c>
      <c r="D7" s="32">
        <v>0.3572328254449446</v>
      </c>
      <c r="E7" s="31">
        <v>0.37850271954228576</v>
      </c>
      <c r="F7" s="31">
        <v>0.3997726136396286</v>
      </c>
    </row>
    <row r="8" spans="1:6" x14ac:dyDescent="0.25">
      <c r="A8" s="30">
        <v>0.13079</v>
      </c>
      <c r="B8" s="31">
        <v>-0.26721718775136455</v>
      </c>
      <c r="C8" s="31">
        <v>-0.248343269662404</v>
      </c>
      <c r="D8" s="31">
        <v>-0.22946935157344522</v>
      </c>
      <c r="E8" s="31">
        <v>-0.21059543348448467</v>
      </c>
      <c r="F8" s="31">
        <v>-0.19172151539552762</v>
      </c>
    </row>
    <row r="9" spans="1:6" x14ac:dyDescent="0.25">
      <c r="A9" s="30">
        <v>0.14079</v>
      </c>
      <c r="B9" s="31">
        <v>-0.7699663022157819</v>
      </c>
      <c r="C9" s="31">
        <v>-0.7531140504704096</v>
      </c>
      <c r="D9" s="31">
        <v>-0.7362617987250389</v>
      </c>
      <c r="E9" s="31">
        <v>-0.7194095469796684</v>
      </c>
      <c r="F9" s="31">
        <v>-0.702557295234296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4713100000</v>
      </c>
      <c r="C5" s="18">
        <v>4401600000</v>
      </c>
      <c r="D5" s="18">
        <v>7634400000</v>
      </c>
      <c r="E5" s="18">
        <v>8438700000</v>
      </c>
      <c r="F5" s="8" t="s">
        <v>84</v>
      </c>
    </row>
    <row r="6" spans="1:6" x14ac:dyDescent="0.25">
      <c r="A6" t="s">
        <v>44</v>
      </c>
      <c r="B6" s="18">
        <v>529800000</v>
      </c>
      <c r="C6" s="18">
        <v>375500000</v>
      </c>
      <c r="D6" s="18">
        <v>2558700000</v>
      </c>
      <c r="E6" s="18">
        <v>3112000000</v>
      </c>
      <c r="F6" s="8" t="s">
        <v>85</v>
      </c>
    </row>
    <row r="7" spans="1:6" x14ac:dyDescent="0.25">
      <c r="A7" t="s">
        <v>86</v>
      </c>
      <c r="B7" s="18">
        <v>689300000</v>
      </c>
      <c r="C7" s="18">
        <v>750100000</v>
      </c>
      <c r="D7" s="18">
        <v>879500000</v>
      </c>
      <c r="E7" s="18">
        <v>998400000</v>
      </c>
      <c r="F7" s="8" t="s">
        <v>87</v>
      </c>
    </row>
    <row r="8" spans="1:6" x14ac:dyDescent="0.25">
      <c r="A8" t="s">
        <v>88</v>
      </c>
      <c r="B8" s="18">
        <v>91100000</v>
      </c>
      <c r="C8" s="18">
        <v>126000000</v>
      </c>
      <c r="D8" s="18">
        <v>285100000</v>
      </c>
      <c r="E8" s="18">
        <v>486200000</v>
      </c>
      <c r="F8" s="8" t="s">
        <v>89</v>
      </c>
    </row>
    <row r="9" spans="1:6" x14ac:dyDescent="0.25">
      <c r="A9" t="s">
        <v>90</v>
      </c>
      <c r="B9" s="18">
        <v>167700000</v>
      </c>
      <c r="C9" s="18">
        <v>-100100000</v>
      </c>
      <c r="D9" s="18">
        <v>76700000</v>
      </c>
      <c r="E9" s="18">
        <v>16000000</v>
      </c>
      <c r="F9" s="8" t="s">
        <v>91</v>
      </c>
    </row>
    <row r="10" spans="1:6" x14ac:dyDescent="0.25">
      <c r="A10" t="s">
        <v>92</v>
      </c>
      <c r="B10" s="18">
        <v>5535200000</v>
      </c>
      <c r="C10" s="18">
        <v>5666100000</v>
      </c>
      <c r="D10" s="18">
        <v>6032400000</v>
      </c>
      <c r="E10" s="18">
        <v>6471400000</v>
      </c>
      <c r="F10" s="8" t="s">
        <v>93</v>
      </c>
    </row>
    <row r="11" spans="1:6" x14ac:dyDescent="0.25">
      <c r="A11" t="s">
        <v>94</v>
      </c>
      <c r="B11" s="18">
        <v>240300000</v>
      </c>
      <c r="C11" s="18">
        <v>771700000</v>
      </c>
      <c r="D11" s="18">
        <v>319700000</v>
      </c>
      <c r="E11" s="18">
        <v>234000000</v>
      </c>
      <c r="F11" s="8" t="s">
        <v>95</v>
      </c>
    </row>
    <row r="12" spans="1:6" x14ac:dyDescent="0.25">
      <c r="A12" t="s">
        <v>32</v>
      </c>
      <c r="B12" s="34">
        <v>545200000</v>
      </c>
      <c r="C12" s="34">
        <v>537300000</v>
      </c>
      <c r="D12" s="34">
        <v>548000000</v>
      </c>
      <c r="E12" s="34">
        <v>557300000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