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<sst xmlns="http://schemas.openxmlformats.org/spreadsheetml/2006/main" count="120" uniqueCount="107">
  <si>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Microchip Technology Incorporated (MCHP)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</si>
  <si>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</si>
  <si>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</si>
  <si>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</si>
  <si>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</si>
  <si>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</si>
  <si>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</si>
  <si>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</si>
  <si>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</si>
  <si>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</si>
  <si>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</si>
  <si>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</si>
  <si>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</si>
  <si>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</si>
  <si>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</si>
  <si>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</si>
  <si>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</si>
  <si>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</si>
  <si>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</si>
  <si>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</si>
  <si>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</si>
  <si>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</si>
  <si>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</si>
  <si>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</si>
  <si>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2.5x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</si>
  <si>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</si>
  <si>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</si>
  <si>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</si>
  <si>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</si>
  <si>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</si>
  <si>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</si>
  <si>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</si>
  <si>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</si>
  <si>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</si>
  <si>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</si>
  <si>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</si>
  <si>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</si>
  <si>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</si>
  <si>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</si>
  <si>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</si>
  <si>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</si>
  <si>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</si>
  <si>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</si>
  <si>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</si>
  <si>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</si>
  <si>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</si>
  <si>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</si>
  <si>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</si>
  <si>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</si>
  <si>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</si>
  <si>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</si>
  <si>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</si>
  <si>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</si>
  <si>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</si>
  <si>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</si>
  <si>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</si>
  <si>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</si>
  <si>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</si>
  <si>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</si>
  <si>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</si>
  <si>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</si>
  <si>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</si>
  <si>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</si>
  <si>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</si>
  <si>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</si>
  <si>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</si>
  <si>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</si>
  <si>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</si>
  <si>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</si>
  <si>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</si>
  <si>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</si>
  <si>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</si>
  <si>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</si>
  <si>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</si>
  <si>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</si>
  <si>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</si>
  <si>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</si>
  <si>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</si>
  <si>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</si>
  <si>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</si>
  <si>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</si>
  <si>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</si>
  <si>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</si>
  <si>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</si>
  <si>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</si>
  <si>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</si>
  <si>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</si>
  <si>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</si>
  <si>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</si>
  <si>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</si>
  <si>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</si>
  <si>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</si>
  <si>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</si>
  <si>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</si>
  <si>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</si>
  <si>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</si>
  <si>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</si>
  <si>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</si>
  <si>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</si>
  <si>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</si>
  <si>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</si>
  <si>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</si>
  <si>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</si>
  <si>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</si>
  <si>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</si>
  <si>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38.8x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</si>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</sst>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0.358793072500053</v>
      </c>
    </row>
    <row r="7" spans="1:2" x14ac:dyDescent="0.25">
      <c r="A7" t="s">
        <v>4</v>
      </c>
      <c r="B7" s="5">
        <v>0.2254127998165452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0.13754538609622075</v>
      </c>
    </row>
    <row r="10" spans="1:3" x14ac:dyDescent="0.25">
      <c r="A10" t="s">
        <v>7</v>
      </c>
      <c r="B10" s="5">
        <v>0.03572867356701835</v>
      </c>
      <c r="C10" s="6" t="s">
        <v>8</v>
      </c>
    </row>
    <row r="11" spans="1:2" x14ac:dyDescent="0.25">
      <c r="A11" t="s">
        <v>9</v>
      </c>
      <c r="B11" s="5">
        <v>0.32942930068502196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0.10539257409781161</v>
      </c>
      <c r="C14" s="6" t="s">
        <v>13</v>
      </c>
    </row>
    <row r="15" spans="1:3" x14ac:dyDescent="0.25">
      <c r="A15" t="s">
        <v>14</v>
      </c>
      <c r="B15" s="5">
        <v>0.031123070994943845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1.50853</v>
      </c>
      <c r="C19" s="6" t="s">
        <v>21</v>
      </c>
    </row>
    <row r="20" spans="1:2" x14ac:dyDescent="0.25">
      <c r="A20" t="s">
        <v>22</v>
      </c>
      <c r="B20" s="9">
        <f>B17+B19*B18</f>
        <v>0.112750819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41996292096</v>
      </c>
    </row>
    <row r="23" spans="1:2" x14ac:dyDescent="0.25">
      <c r="A23" t="s">
        <v>26</v>
      </c>
      <c r="B23" s="10">
        <v>5535200000</v>
      </c>
    </row>
    <row r="24" spans="1:2" x14ac:dyDescent="0.25">
      <c r="A24" t="s">
        <v>27</v>
      </c>
      <c r="B24" s="9">
        <f>B22/(B22+B23)</f>
        <v>0.8835466812440795</v>
      </c>
    </row>
    <row r="25" spans="1:2" x14ac:dyDescent="0.25">
      <c r="A25" t="s">
        <v>28</v>
      </c>
      <c r="B25" s="9">
        <f>1-B24</f>
        <v>0.11645331875592047</v>
      </c>
    </row>
    <row r="26" spans="1:2" x14ac:dyDescent="0.25">
      <c r="A26" t="s">
        <v>29</v>
      </c>
      <c r="B26" s="11">
        <f>B24*B20+B25*B21*(1-B8)</f>
        <v>0.10539257409781161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4713100000</v>
      </c>
      <c r="C29" s="6" t="s">
        <v>32</v>
      </c>
    </row>
    <row r="30" spans="1:2" x14ac:dyDescent="0.25">
      <c r="A30" t="s">
        <v>33</v>
      </c>
      <c r="B30" s="10">
        <v>5294900000</v>
      </c>
    </row>
    <row r="31" spans="1:2" x14ac:dyDescent="0.25">
      <c r="A31" t="s">
        <v>34</v>
      </c>
      <c r="B31" s="12">
        <v>545200000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0.358793072500053</v>
      </c>
      <c r="C5" s="5">
        <v>0.16335953004734227</v>
      </c>
      <c r="D5" s="5">
        <v>0.14606458879142448</v>
      </c>
      <c r="E5" s="5">
        <v>0.1287696475355067</v>
      </c>
      <c r="F5" s="5">
        <v>0.11147470627958891</v>
      </c>
      <c r="G5" s="5">
        <v>0.09417976502367113</v>
      </c>
      <c r="H5" s="5">
        <v>0.07688482376775335</v>
      </c>
      <c r="I5" s="5">
        <v>0.05958988251183556</v>
      </c>
      <c r="J5" s="5">
        <v>0.042294941255917776</v>
      </c>
      <c r="K5" s="5">
        <v>0.024999999999999994</v>
      </c>
    </row>
    <row r="6" spans="1:11" x14ac:dyDescent="0.25">
      <c r="A6" t="s">
        <v>50</v>
      </c>
      <c r="B6" s="18">
        <f>Assumptions!B29*(1+B5)</f>
        <v>6404127630</v>
      </c>
      <c r="C6" s="18">
        <f>B6*(1+C5)</f>
        <v>7450302910</v>
      </c>
      <c r="D6" s="18">
        <f>C6*(1+D5)</f>
        <v>8538528340.920703</v>
      </c>
      <c r="E6" s="18">
        <f>D6*(1+E5)</f>
        <v>9638031625.852997</v>
      </c>
      <c r="F6" s="18">
        <f>E6*(1+F5)</f>
        <v>10712428370.458347</v>
      </c>
      <c r="G6" s="18">
        <f>F6*(1+G5)</f>
        <v>11721322357.221022</v>
      </c>
      <c r="H6" s="18">
        <f>G6*(1+H5)</f>
        <v>12622514160.980986</v>
      </c>
      <c r="I6" s="18">
        <f>H6*(1+I5)</f>
        <v>13374688296.837822</v>
      </c>
      <c r="J6" s="18">
        <f>I6*(1+J5)</f>
        <v>13940369952.668787</v>
      </c>
      <c r="K6" s="18">
        <f>J6*(1+K5)</f>
        <v>14288879201.485506</v>
      </c>
    </row>
    <row r="7" spans="1:11" x14ac:dyDescent="0.25">
      <c r="A7" t="s">
        <v>4</v>
      </c>
      <c r="B7" s="9">
        <f>Assumptions!B7</f>
        <v>0.2254127998165452</v>
      </c>
      <c r="C7" s="9">
        <f>Assumptions!B7</f>
        <v>0.2254127998165452</v>
      </c>
      <c r="D7" s="9">
        <f>Assumptions!B7</f>
        <v>0.2254127998165452</v>
      </c>
      <c r="E7" s="9">
        <f>Assumptions!B7</f>
        <v>0.2254127998165452</v>
      </c>
      <c r="F7" s="9">
        <f>Assumptions!B7</f>
        <v>0.2254127998165452</v>
      </c>
      <c r="G7" s="9">
        <f>Assumptions!B7</f>
        <v>0.2254127998165452</v>
      </c>
      <c r="H7" s="9">
        <f>Assumptions!B7</f>
        <v>0.2254127998165452</v>
      </c>
      <c r="I7" s="9">
        <f>Assumptions!B7</f>
        <v>0.2254127998165452</v>
      </c>
      <c r="J7" s="9">
        <f>Assumptions!B7</f>
        <v>0.2254127998165452</v>
      </c>
      <c r="K7" s="9">
        <f>Assumptions!B7</f>
        <v>0.2254127998165452</v>
      </c>
    </row>
    <row r="8" spans="1:11" x14ac:dyDescent="0.25">
      <c r="A8" t="s">
        <v>51</v>
      </c>
      <c r="B8" s="18">
        <f>B6*B7</f>
        <v>1443572339.4607959</v>
      </c>
      <c r="C8" s="18">
        <f>C6*C7</f>
        <v>1679393638.424454</v>
      </c>
      <c r="D8" s="18">
        <f>D6*D7</f>
        <v>1924693579.639856</v>
      </c>
      <c r="E8" s="18">
        <f>E6*E7</f>
        <v>2172535693.503933</v>
      </c>
      <c r="F8" s="18">
        <f>F6*F7</f>
        <v>2414718471.8192067</v>
      </c>
      <c r="G8" s="18">
        <f>G6*G7</f>
        <v>2642136090.0934577</v>
      </c>
      <c r="H8" s="18">
        <f>H6*H7</f>
        <v>2845276257.750714</v>
      </c>
      <c r="I8" s="18">
        <f>I6*I7</f>
        <v>3014825935.6637936</v>
      </c>
      <c r="J8" s="18">
        <f>J6*J7</f>
        <v>3142337821.509511</v>
      </c>
      <c r="K8" s="18">
        <f>K6*K7</f>
        <v>3220896267.0472484</v>
      </c>
    </row>
    <row r="9" spans="1:11" x14ac:dyDescent="0.25">
      <c r="A9" t="s">
        <v>52</v>
      </c>
      <c r="B9" s="18">
        <f>B8*(1-Assumptions!B8)</f>
        <v>1140422148.1740289</v>
      </c>
      <c r="C9" s="18">
        <f>C8*(1-Assumptions!B8)</f>
        <v>1326720974.3553188</v>
      </c>
      <c r="D9" s="18">
        <f>D8*(1-Assumptions!B8)</f>
        <v>1520507927.9154863</v>
      </c>
      <c r="E9" s="18">
        <f>E8*(1-Assumptions!B8)</f>
        <v>1716303197.868107</v>
      </c>
      <c r="F9" s="18">
        <f>F8*(1-Assumptions!B8)</f>
        <v>1907627592.7371733</v>
      </c>
      <c r="G9" s="18">
        <f>G8*(1-Assumptions!B8)</f>
        <v>2087287511.1738317</v>
      </c>
      <c r="H9" s="18">
        <f>H8*(1-Assumptions!B8)</f>
        <v>2247768243.623064</v>
      </c>
      <c r="I9" s="18">
        <f>I8*(1-Assumptions!B8)</f>
        <v>2381712489.174397</v>
      </c>
      <c r="J9" s="18">
        <f>J8*(1-Assumptions!B8)</f>
        <v>2482446878.9925137</v>
      </c>
      <c r="K9" s="18">
        <f>K8*(1-Assumptions!B8)</f>
        <v>2544508050.967326</v>
      </c>
    </row>
    <row r="10" spans="1:11" x14ac:dyDescent="0.25">
      <c r="A10" t="s">
        <v>53</v>
      </c>
      <c r="B10" s="18">
        <f>B6*Assumptions!B9</f>
        <v>880858207.4778252</v>
      </c>
      <c r="C10" s="18">
        <f>C6*Assumptions!B9</f>
        <v>1024754790.289747</v>
      </c>
      <c r="D10" s="18">
        <f>D6*Assumptions!B9</f>
        <v>1174435177.3454611</v>
      </c>
      <c r="E10" s="18">
        <f>E6*Assumptions!B9</f>
        <v>1325666781.1855366</v>
      </c>
      <c r="F10" s="18">
        <f>F6*Assumptions!B9</f>
        <v>1473445096.2428021</v>
      </c>
      <c r="G10" s="18">
        <f>G6*Assumptions!B9</f>
        <v>1612213809.1822298</v>
      </c>
      <c r="H10" s="18">
        <f>H6*Assumptions!B9</f>
        <v>1736168583.7771435</v>
      </c>
      <c r="I10" s="18">
        <f>I6*Assumptions!B9</f>
        <v>1839626665.7051632</v>
      </c>
      <c r="J10" s="18">
        <f>J6*Assumptions!B9</f>
        <v>1917433567.4639828</v>
      </c>
      <c r="K10" s="18">
        <f>K6*Assumptions!B9</f>
        <v>1965369406.6505823</v>
      </c>
    </row>
    <row r="11" spans="1:11" x14ac:dyDescent="0.25">
      <c r="A11" t="s">
        <v>54</v>
      </c>
      <c r="B11" s="18">
        <f>-B6*B19</f>
        <v>-228810985.57379287</v>
      </c>
      <c r="C11" s="18">
        <f>-C6*C19</f>
        <v>-313853588.2494798</v>
      </c>
      <c r="D11" s="18">
        <f>-D6*D19</f>
        <v>-414322675.2802157</v>
      </c>
      <c r="E11" s="18">
        <f>-E6*E19</f>
        <v>-529335247.3186754</v>
      </c>
      <c r="F11" s="18">
        <f>-F6*F19</f>
        <v>-656876699.2632202</v>
      </c>
      <c r="G11" s="18">
        <f>-G6*G19</f>
        <v>-793729665.4929576</v>
      </c>
      <c r="H11" s="18">
        <f>-H6*H19</f>
        <v>-935509379.5217943</v>
      </c>
      <c r="I11" s="18">
        <f>-I6*I19</f>
        <v>-1076822340.4225314</v>
      </c>
      <c r="J11" s="18">
        <f>-J6*J19</f>
        <v>-1211551556.7125316</v>
      </c>
      <c r="K11" s="18">
        <f>-K6*K19</f>
        <v>-1333255051.255584</v>
      </c>
    </row>
    <row r="12" spans="1:11" x14ac:dyDescent="0.25">
      <c r="A12" t="s">
        <v>55</v>
      </c>
      <c r="B12" s="18">
        <f>-(B6-Assumptions!B29)*Assumptions!B11</f>
        <v>-557074049.5899501</v>
      </c>
      <c r="C12" s="18">
        <f>-(C6-B6)*Assumptions!B11</f>
        <v>-344640790.88435704</v>
      </c>
      <c r="D12" s="18">
        <f>-(D6-C6)*Assumptions!B11</f>
        <v>-358493342.69586384</v>
      </c>
      <c r="E12" s="18">
        <f>-(E6-D6)*Assumptions!B11</f>
        <v>-362208598.25613004</v>
      </c>
      <c r="F12" s="18">
        <f>-(F6-E6)*Assumptions!B11</f>
        <v>-353937768.2336047</v>
      </c>
      <c r="G12" s="18">
        <f>-(G6-F6)*Assumptions!B11</f>
        <v>-332359240.52455163</v>
      </c>
      <c r="H12" s="18">
        <f>-(H6-G6)*Assumptions!B11</f>
        <v>-296878985.69571847</v>
      </c>
      <c r="I12" s="18">
        <f>-(I6-H6)*Assumptions!B11</f>
        <v>-247788199.5686783</v>
      </c>
      <c r="J12" s="18">
        <f>-(J6-I6)*Assumptions!B11</f>
        <v>-186352112.2907401</v>
      </c>
      <c r="K12" s="18">
        <f>-(K6-J6)*Assumptions!B11</f>
        <v>-114809158.11995408</v>
      </c>
    </row>
    <row r="13" spans="1:11" x14ac:dyDescent="0.25">
      <c r="A13" s="19" t="s">
        <v>56</v>
      </c>
      <c r="B13" s="20">
        <f>B9+B10+B11+B12</f>
        <v>1235395320.488111</v>
      </c>
      <c r="C13" s="20">
        <f>C9+C10+C11+C12</f>
        <v>1692981385.511229</v>
      </c>
      <c r="D13" s="20">
        <f>D9+D10+D11+D12</f>
        <v>1922127087.2848678</v>
      </c>
      <c r="E13" s="20">
        <f>E9+E10+E11+E12</f>
        <v>2150426133.478838</v>
      </c>
      <c r="F13" s="20">
        <f>F9+F10+F11+F12</f>
        <v>2370258221.4831505</v>
      </c>
      <c r="G13" s="20">
        <f>G9+G10+G11+G12</f>
        <v>2573412414.3385525</v>
      </c>
      <c r="H13" s="20">
        <f>H9+H10+H11+H12</f>
        <v>2751548462.182695</v>
      </c>
      <c r="I13" s="20">
        <f>I9+I10+I11+I12</f>
        <v>2896728614.888351</v>
      </c>
      <c r="J13" s="20">
        <f>J9+J10+J11+J12</f>
        <v>3001976777.4532247</v>
      </c>
      <c r="K13" s="20">
        <f>K9+K10+K11+K12</f>
        <v>3061813248.2423706</v>
      </c>
    </row>
    <row r="14" spans="1:11" x14ac:dyDescent="0.25">
      <c r="A14" t="s">
        <v>57</v>
      </c>
      <c r="B14" s="21">
        <f>1/(1+Assumptions!$B$26)^(1-0.5*Assumptions!$B$32)</f>
        <v>0.951134048294004</v>
      </c>
      <c r="C14" s="21">
        <f>1/(1+Assumptions!$B$26)^(2-0.5*Assumptions!$B$32)</f>
        <v>0.860449102501246</v>
      </c>
      <c r="D14" s="21">
        <f>1/(1+Assumptions!$B$26)^(3-0.5*Assumptions!$B$32)</f>
        <v>0.7784104241911691</v>
      </c>
      <c r="E14" s="21">
        <f>1/(1+Assumptions!$B$26)^(4-0.5*Assumptions!$B$32)</f>
        <v>0.7041936434451666</v>
      </c>
      <c r="F14" s="21">
        <f>1/(1+Assumptions!$B$26)^(5-0.5*Assumptions!$B$32)</f>
        <v>0.6370529890884317</v>
      </c>
      <c r="G14" s="21">
        <f>1/(1+Assumptions!$B$26)^(6-0.5*Assumptions!$B$32)</f>
        <v>0.5763137947695869</v>
      </c>
      <c r="H14" s="21">
        <f>1/(1+Assumptions!$B$26)^(7-0.5*Assumptions!$B$32)</f>
        <v>0.5213657195408219</v>
      </c>
      <c r="I14" s="21">
        <f>1/(1+Assumptions!$B$26)^(8-0.5*Assumptions!$B$32)</f>
        <v>0.47165661481518906</v>
      </c>
      <c r="J14" s="21">
        <f>1/(1+Assumptions!$B$26)^(9-0.5*Assumptions!$B$32)</f>
        <v>0.4266869760728591</v>
      </c>
      <c r="K14" s="21">
        <f>1/(1+Assumptions!$B$26)^(10-0.5*Assumptions!$B$32)</f>
        <v>0.38600492356401817</v>
      </c>
    </row>
    <row r="15" spans="1:11" x14ac:dyDescent="0.25">
      <c r="A15" s="19" t="s">
        <v>58</v>
      </c>
      <c r="B15" s="20">
        <f>B13*B14</f>
        <v>1175026552.4193256</v>
      </c>
      <c r="C15" s="20">
        <f>C13*C14</f>
        <v>1456724313.714453</v>
      </c>
      <c r="D15" s="20">
        <f>D13*D14</f>
        <v>1496203761.3627503</v>
      </c>
      <c r="E15" s="20">
        <f>E13*E14</f>
        <v>1514316413.894165</v>
      </c>
      <c r="F15" s="20">
        <f>F13*F14</f>
        <v>1509980084.907271</v>
      </c>
      <c r="G15" s="20">
        <f>G13*G14</f>
        <v>1483093074.0146155</v>
      </c>
      <c r="H15" s="20">
        <f>H13*H14</f>
        <v>1434563043.8373227</v>
      </c>
      <c r="I15" s="20">
        <f>I13*I14</f>
        <v>1366261212.536531</v>
      </c>
      <c r="J15" s="20">
        <f>J13*J14</f>
        <v>1280904393.4124627</v>
      </c>
      <c r="K15" s="20">
        <f>K13*K14</f>
        <v>1181874988.8550944</v>
      </c>
    </row>
    <row r="17" spans="1:2" x14ac:dyDescent="0.25">
      <c r="A17" s="22" t="s">
        <v>59</v>
      </c>
      <c r="B17" s="23">
        <f>SUM(B15:K15)</f>
        <v>13898947838.95399</v>
      </c>
    </row>
    <row r="19" spans="1:11" x14ac:dyDescent="0.25">
      <c r="A19" t="s">
        <v>7</v>
      </c>
      <c r="B19" s="9">
        <f>Assumptions!$B$10+($B$20-Assumptions!$B$10)*0/9</f>
        <v>0.03572867356701835</v>
      </c>
      <c r="C19" s="9">
        <f>Assumptions!$B$10+($B$20-Assumptions!$B$10)*1/9</f>
        <v>0.042126285607557906</v>
      </c>
      <c r="D19" s="9">
        <f>Assumptions!$B$10+($B$20-Assumptions!$B$10)*2/9</f>
        <v>0.04852389764809747</v>
      </c>
      <c r="E19" s="9">
        <f>Assumptions!$B$10+($B$20-Assumptions!$B$10)*3/9</f>
        <v>0.05492150968863702</v>
      </c>
      <c r="F19" s="9">
        <f>Assumptions!$B$10+($B$20-Assumptions!$B$10)*4/9</f>
        <v>0.061319121729176584</v>
      </c>
      <c r="G19" s="9">
        <f>Assumptions!$B$10+($B$20-Assumptions!$B$10)*5/9</f>
        <v>0.06771673376971614</v>
      </c>
      <c r="H19" s="9">
        <f>Assumptions!$B$10+($B$20-Assumptions!$B$10)*6/9</f>
        <v>0.0741143458102557</v>
      </c>
      <c r="I19" s="9">
        <f>Assumptions!$B$10+($B$20-Assumptions!$B$10)*7/9</f>
        <v>0.08051195785079526</v>
      </c>
      <c r="J19" s="9">
        <f>Assumptions!$B$10+($B$20-Assumptions!$B$10)*8/9</f>
        <v>0.0869095698913348</v>
      </c>
      <c r="K19" s="9">
        <f>Assumptions!$B$10+($B$20-Assumptions!$B$10)*9/9</f>
        <v>0.09330718193187437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0.09330718193187437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3061813248.2423706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3745825978.7787385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0.23720836324576597</v>
      </c>
    </row>
    <row r="7" spans="1:2" x14ac:dyDescent="0.25">
      <c r="A7" t="s">
        <v>66</v>
      </c>
      <c r="B7" s="18">
        <f>-MAX(B5,0)*B6</f>
        <v>-888541249.4295739</v>
      </c>
    </row>
    <row r="8" spans="1:2" x14ac:dyDescent="0.25">
      <c r="A8" t="s">
        <v>67</v>
      </c>
      <c r="B8" s="18">
        <f>IF(OR(Assumptions!$B$33=0,Assumptions!B12&lt;=0),B5,MAX(B5+B7,0))</f>
        <v>2857284729.3491645</v>
      </c>
    </row>
    <row r="9" spans="1:2" x14ac:dyDescent="0.25">
      <c r="A9" t="s">
        <v>68</v>
      </c>
      <c r="B9" s="18">
        <f>B8*(1+Assumptions!B12)/(Assumptions!B26-Assumptions!B12)</f>
        <v>36430191226.61252</v>
      </c>
    </row>
    <row r="10" spans="1:2" x14ac:dyDescent="0.25">
      <c r="A10" t="s">
        <v>69</v>
      </c>
      <c r="B10" s="18">
        <f>B9/(1+Assumptions!B26)^(10-0.5*Assumptions!B32)</f>
        <v>14062233179.85113</v>
      </c>
    </row>
    <row r="11" spans="1:2" x14ac:dyDescent="0.25">
      <c r="A11" t="s">
        <v>70</v>
      </c>
      <c r="B11" s="18">
        <f>Forecast!B17+B10</f>
        <v>27961181018.805122</v>
      </c>
    </row>
    <row r="12" spans="1:2" x14ac:dyDescent="0.25">
      <c r="A12" t="s">
        <v>71</v>
      </c>
      <c r="B12" s="18">
        <f>-Assumptions!B30</f>
        <v>-5294900000</v>
      </c>
    </row>
    <row r="13" spans="1:2" x14ac:dyDescent="0.25">
      <c r="A13" t="s">
        <v>72</v>
      </c>
      <c r="B13" s="18">
        <f>B11+B12</f>
        <v>22666281018.805122</v>
      </c>
    </row>
    <row r="14" spans="1:2" x14ac:dyDescent="0.25">
      <c r="A14" s="19" t="s">
        <v>73</v>
      </c>
      <c r="B14" s="24">
        <f>B13/Assumptions!B31</f>
        <v>41.574249851073226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5186265673.69783</v>
      </c>
    </row>
    <row r="18" spans="1:2" x14ac:dyDescent="0.25">
      <c r="A18" t="s">
        <v>68</v>
      </c>
      <c r="B18" s="18">
        <f>B17*Assumptions!B13</f>
        <v>103725313473.9566</v>
      </c>
    </row>
    <row r="19" spans="1:2" x14ac:dyDescent="0.25">
      <c r="A19" t="s">
        <v>69</v>
      </c>
      <c r="B19" s="18">
        <f>B18/(1+Assumptions!B26)^(10-0.5*Assumptions!B32)</f>
        <v>40038481699.16844</v>
      </c>
    </row>
    <row r="20" spans="1:2" x14ac:dyDescent="0.25">
      <c r="A20" t="s">
        <v>70</v>
      </c>
      <c r="B20" s="18">
        <f>Forecast!B17+B19</f>
        <v>53937429538.12244</v>
      </c>
    </row>
    <row r="21" spans="1:2" x14ac:dyDescent="0.25">
      <c r="A21" t="s">
        <v>71</v>
      </c>
      <c r="B21" s="18">
        <f>-Assumptions!B30</f>
        <v>-5294900000</v>
      </c>
    </row>
    <row r="22" spans="1:2" x14ac:dyDescent="0.25">
      <c r="A22" t="s">
        <v>72</v>
      </c>
      <c r="B22" s="18">
        <f>B20+B21</f>
        <v>48642529538.12244</v>
      </c>
    </row>
    <row r="23" spans="1:2" x14ac:dyDescent="0.25">
      <c r="A23" s="19" t="s">
        <v>73</v>
      </c>
      <c r="B23" s="25">
        <f>B22/Assumptions!B31</f>
        <v>89.21960663632142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77.34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41.574249851073226</v>
      </c>
    </row>
    <row r="29" spans="1:2" x14ac:dyDescent="0.25">
      <c r="A29" s="19" t="s">
        <v>81</v>
      </c>
      <c r="B29" s="11">
        <f>B28/B26-1</f>
        <v>-0.4624482822462733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0.085393</v>
      </c>
      <c r="B5" s="31">
        <v>58.11118370627541</v>
      </c>
      <c r="C5" s="31">
        <v>57.85659176573376</v>
      </c>
      <c r="D5" s="31">
        <v>57.67786313220187</v>
      </c>
      <c r="E5" s="31">
        <v>57.59554100798234</v>
      </c>
      <c r="F5" s="31">
        <v>57.63832179217192</v>
      </c>
    </row>
    <row r="6" spans="1:6" x14ac:dyDescent="0.25">
      <c r="A6" s="30">
        <v>0.095393</v>
      </c>
      <c r="B6" s="31">
        <v>49.169622302738304</v>
      </c>
      <c r="C6" s="31">
        <v>48.549518699420695</v>
      </c>
      <c r="D6" s="31">
        <v>47.93703112846911</v>
      </c>
      <c r="E6" s="31">
        <v>47.3339065732838</v>
      </c>
      <c r="F6" s="31">
        <v>46.74247055563865</v>
      </c>
    </row>
    <row r="7" spans="1:6" x14ac:dyDescent="0.25">
      <c r="A7" s="30">
        <v>0.105393</v>
      </c>
      <c r="B7" s="31">
        <v>42.751928572857715</v>
      </c>
      <c r="C7" s="31">
        <v>42.16297292555408</v>
      </c>
      <c r="D7" s="32">
        <v>41.57401727825043</v>
      </c>
      <c r="E7" s="31">
        <v>40.9850616309468</v>
      </c>
      <c r="F7" s="31">
        <v>40.39610598364316</v>
      </c>
    </row>
    <row r="8" spans="1:6" x14ac:dyDescent="0.25">
      <c r="A8" s="30">
        <v>0.115393</v>
      </c>
      <c r="B8" s="31">
        <v>37.61895468053075</v>
      </c>
      <c r="C8" s="31">
        <v>37.109664834746894</v>
      </c>
      <c r="D8" s="31">
        <v>36.60037498896304</v>
      </c>
      <c r="E8" s="31">
        <v>36.09108514317919</v>
      </c>
      <c r="F8" s="31">
        <v>35.58179529739533</v>
      </c>
    </row>
    <row r="9" spans="1:6" x14ac:dyDescent="0.25">
      <c r="A9" s="30">
        <v>0.125393</v>
      </c>
      <c r="B9" s="31">
        <v>33.33269807576616</v>
      </c>
      <c r="C9" s="31">
        <v>32.88861083828941</v>
      </c>
      <c r="D9" s="31">
        <v>32.444523600812644</v>
      </c>
      <c r="E9" s="31">
        <v>32.000436363335886</v>
      </c>
      <c r="F9" s="31">
        <v>31.55634912585913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4713100000</v>
      </c>
      <c r="C5" s="18">
        <v>4401600000</v>
      </c>
      <c r="D5" s="18">
        <v>7634400000</v>
      </c>
      <c r="E5" s="18">
        <v>8438700000</v>
      </c>
      <c r="F5" s="6" t="s">
        <v>91</v>
      </c>
    </row>
    <row r="6" spans="1:6" x14ac:dyDescent="0.25">
      <c r="A6" t="s">
        <v>51</v>
      </c>
      <c r="B6" s="18">
        <v>529800000</v>
      </c>
      <c r="C6" s="18">
        <v>375500000</v>
      </c>
      <c r="D6" s="18">
        <v>2558700000</v>
      </c>
      <c r="E6" s="18">
        <v>3112000000</v>
      </c>
      <c r="F6" s="6" t="s">
        <v>92</v>
      </c>
    </row>
    <row r="7" spans="1:6" x14ac:dyDescent="0.25">
      <c r="A7" t="s">
        <v>93</v>
      </c>
      <c r="B7" s="18">
        <v>689300000</v>
      </c>
      <c r="C7" s="18">
        <v>750100000</v>
      </c>
      <c r="D7" s="18">
        <v>879500000</v>
      </c>
      <c r="E7" s="18">
        <v>998400000</v>
      </c>
      <c r="F7" s="6" t="s">
        <v>94</v>
      </c>
    </row>
    <row r="8" spans="1:6" x14ac:dyDescent="0.25">
      <c r="A8" t="s">
        <v>95</v>
      </c>
      <c r="B8" s="18">
        <v>91100000</v>
      </c>
      <c r="C8" s="18">
        <v>126000000</v>
      </c>
      <c r="D8" s="18">
        <v>285100000</v>
      </c>
      <c r="E8" s="18">
        <v>486200000</v>
      </c>
      <c r="F8" s="6" t="s">
        <v>96</v>
      </c>
    </row>
    <row r="9" spans="1:6" x14ac:dyDescent="0.25">
      <c r="A9" t="s">
        <v>97</v>
      </c>
      <c r="B9" s="18">
        <v>167700000</v>
      </c>
      <c r="C9" s="18">
        <v>-100100000</v>
      </c>
      <c r="D9" s="18">
        <v>76700000</v>
      </c>
      <c r="E9" s="18">
        <v>16000000</v>
      </c>
      <c r="F9" s="6" t="s">
        <v>98</v>
      </c>
    </row>
    <row r="10" spans="1:6" x14ac:dyDescent="0.25">
      <c r="A10" t="s">
        <v>99</v>
      </c>
      <c r="B10" s="18">
        <v>5535200000</v>
      </c>
      <c r="C10" s="18">
        <v>5666100000</v>
      </c>
      <c r="D10" s="18">
        <v>6032400000</v>
      </c>
      <c r="E10" s="18">
        <v>6471400000</v>
      </c>
      <c r="F10" s="6" t="s">
        <v>100</v>
      </c>
    </row>
    <row r="11" spans="1:6" x14ac:dyDescent="0.25">
      <c r="A11" t="s">
        <v>101</v>
      </c>
      <c r="B11" s="18">
        <v>240300000</v>
      </c>
      <c r="C11" s="18">
        <v>771700000</v>
      </c>
      <c r="D11" s="18">
        <v>319700000</v>
      </c>
      <c r="E11" s="18">
        <v>234000000</v>
      </c>
      <c r="F11" s="6" t="s">
        <v>102</v>
      </c>
    </row>
    <row r="12" spans="1:6" x14ac:dyDescent="0.25">
      <c r="A12" t="s">
        <v>34</v>
      </c>
      <c r="B12" s="34">
        <v>545200000</v>
      </c>
      <c r="C12" s="34">
        <v>537300000</v>
      </c>
      <c r="D12" s="34">
        <v>548000000</v>
      </c>
      <c r="E12" s="34">
        <v>557300000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