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<sst xmlns="http://schemas.openxmlformats.org/spreadsheetml/2006/main" count="121" uniqueCount="108">
  <si>
    <t>McKesson Corporation (MCK)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</si>
  <si>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</si>
  <si>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</si>
  <si>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</si>
  <si>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</si>
  <si>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</si>
  <si>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</si>
  <si>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</si>
  <si>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</si>
  <si>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</si>
  <si>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</si>
  <si>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</si>
  <si>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</si>
  <si>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</si>
  <si>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Depreciation alone, % of revenue</t>
  </si>
  <si>
    <t>The rest of D&amp;A is amortisation of acquired intangibles, which runs off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</si>
  <si>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</si>
  <si>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</si>
  <si>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</si>
  <si>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</si>
  <si>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</si>
  <si>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</si>
  <si>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</si>
  <si>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</si>
  <si>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Risk-free + 40bp, the spread for a AAA rating at 26.1x interest cover. Book interest / average debt was lower, at 3.1%.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</si>
  <si>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</si>
  <si>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</si>
  <si>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</si>
  <si>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</si>
  <si>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</si>
  <si>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</si>
  <si>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</si>
  <si>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2026-03-31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</si>
  <si>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</si>
  <si>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</si>
  <si>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</si>
  <si>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</si>
  <si>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</si>
  <si>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</si>
  <si>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</si>
  <si>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</si>
  <si>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</si>
  <si>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</si>
  <si>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</si>
  <si>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</si>
  <si>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</si>
  <si>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</si>
  <si>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</si>
  <si>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</si>
  <si>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FY36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</si>
  <si>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</si>
  <si>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</si>
  <si>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</si>
  <si>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</si>
  <si>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</si>
  <si>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</si>
  <si>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</si>
  <si>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</si>
  <si>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</si>
  <si>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</si>
  <si>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</si>
  <si>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</si>
  <si>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</si>
  <si>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</si>
  <si>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</si>
  <si>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</si>
  <si>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</si>
  <si>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</si>
  <si>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</si>
  <si>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</si>
  <si>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</si>
  <si>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</si>
  <si>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</si>
  <si>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</si>
  <si>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</si>
  <si>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</si>
  <si>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</si>
  <si>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</si>
  <si>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</si>
  <si>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</si>
  <si>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</si>
  <si>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</si>
  <si>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</si>
  <si>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</si>
  <si>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</si>
  <si>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</si>
  <si>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2026-03-31</t>
  </si>
  <si>
    <t>2025-03-31</t>
  </si>
  <si>
    <t>2024-03-31</t>
  </si>
  <si>
    <t>2023-03-31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</si>
  <si>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</si>
  <si>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</si>
  <si>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</si>
  <si>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</si>
  <si>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</si>
  <si>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</si>
  <si>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</si>
  <si>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</si>
  <si>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</si>
  <si>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</si>
  <si>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</si>
  <si>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</si>
  <si>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</si>
  <si>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</si>
  <si>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</si>
  <si>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Reported capital expenditure averages just 0.21% of revenue, which is too low to be the company's real investment - property trusts and similar structures invest through lines that are not reported as capex. Capex has been set to 1.00% of revenue so the forecast is not handed free growth. Override it if the reported figure is right.</t>
  </si>
  <si>
    <t>Adjusted: Capital expenditure runs at 1.0% of revenue against depreciation of 0.2%. A perpetuity has to be a steady state, so the forecast tapers capex to maintenance at depreciation plus the reinvestment terminal growth requires (g/ROIC of NOPAT), and the terminal year carries on from there. The bridge is shown under Terminal Value.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</si>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</sst>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0.07045647329152516</v>
      </c>
    </row>
    <row r="7" spans="1:2" x14ac:dyDescent="0.25">
      <c r="A7" t="s">
        <v>4</v>
      </c>
      <c r="B7" s="5">
        <v>0.014867567530726097</v>
      </c>
    </row>
    <row r="8" spans="1:2" x14ac:dyDescent="0.25">
      <c r="A8" t="s">
        <v>5</v>
      </c>
      <c r="B8" s="5">
        <v>0.18658881745193331</v>
      </c>
    </row>
    <row r="9" spans="1:2" x14ac:dyDescent="0.25">
      <c r="A9" t="s">
        <v>6</v>
      </c>
      <c r="B9" s="5">
        <v>0.001957730355322832</v>
      </c>
    </row>
    <row r="10" spans="1:3" x14ac:dyDescent="0.25">
      <c r="A10" t="s">
        <v>7</v>
      </c>
      <c r="B10" s="5">
        <v>0.01</v>
      </c>
      <c r="C10" s="6" t="s">
        <v>8</v>
      </c>
    </row>
    <row r="11" spans="1:2" x14ac:dyDescent="0.25">
      <c r="A11" t="s">
        <v>9</v>
      </c>
      <c r="B11" s="5">
        <v>-0.024542657886265785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16.789285804816927</v>
      </c>
    </row>
    <row r="14" spans="1:3" x14ac:dyDescent="0.25">
      <c r="A14" t="s">
        <v>12</v>
      </c>
      <c r="B14" s="5">
        <v>0.6</v>
      </c>
      <c r="C14" s="6" t="s">
        <v>13</v>
      </c>
    </row>
    <row r="15" spans="1:3" x14ac:dyDescent="0.25">
      <c r="A15" t="s">
        <v>14</v>
      </c>
      <c r="B15" s="5">
        <v>0.0007559249074594647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0.52966</v>
      </c>
      <c r="C19" s="6" t="s">
        <v>21</v>
      </c>
    </row>
    <row r="20" spans="1:2" x14ac:dyDescent="0.25">
      <c r="A20" t="s">
        <v>22</v>
      </c>
      <c r="B20" s="9">
        <f>B17+B19*B18</f>
        <v>0.071344618</v>
      </c>
    </row>
    <row r="21" spans="1:3" x14ac:dyDescent="0.25">
      <c r="A21" t="s">
        <v>23</v>
      </c>
      <c r="B21" s="5">
        <v>0.05294</v>
      </c>
      <c r="C21" s="6" t="s">
        <v>24</v>
      </c>
    </row>
    <row r="22" spans="1:2" x14ac:dyDescent="0.25">
      <c r="A22" t="s">
        <v>25</v>
      </c>
      <c r="B22" s="10">
        <v>115958439936</v>
      </c>
    </row>
    <row r="23" spans="1:2" x14ac:dyDescent="0.25">
      <c r="A23" t="s">
        <v>26</v>
      </c>
      <c r="B23" s="10">
        <v>8614000000</v>
      </c>
    </row>
    <row r="24" spans="1:2" x14ac:dyDescent="0.25">
      <c r="A24" t="s">
        <v>27</v>
      </c>
      <c r="B24" s="9">
        <f>B22/(B22+B23)</f>
        <v>0.9308514788309075</v>
      </c>
    </row>
    <row r="25" spans="1:2" x14ac:dyDescent="0.25">
      <c r="A25" t="s">
        <v>28</v>
      </c>
      <c r="B25" s="9">
        <f>1-B24</f>
        <v>0.06914852116909254</v>
      </c>
    </row>
    <row r="26" spans="1:2" x14ac:dyDescent="0.25">
      <c r="A26" t="s">
        <v>29</v>
      </c>
      <c r="B26" s="11">
        <f>B24*B20+B25*B21*(1-B8)</f>
        <v>0.06938891596101053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403430000000</v>
      </c>
      <c r="C29" s="6" t="s">
        <v>32</v>
      </c>
    </row>
    <row r="30" spans="1:2" x14ac:dyDescent="0.25">
      <c r="A30" t="s">
        <v>33</v>
      </c>
      <c r="B30" s="10">
        <v>4639000000</v>
      </c>
    </row>
    <row r="31" spans="1:2" x14ac:dyDescent="0.25">
      <c r="A31" t="s">
        <v>34</v>
      </c>
      <c r="B31" s="12">
        <v>124100000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0.07045647329152516</v>
      </c>
      <c r="C5" s="5">
        <v>0.06846348553085524</v>
      </c>
      <c r="D5" s="5">
        <v>0.06303054983949834</v>
      </c>
      <c r="E5" s="5">
        <v>0.05759761414814143</v>
      </c>
      <c r="F5" s="5">
        <v>0.052164678456784526</v>
      </c>
      <c r="G5" s="5">
        <v>0.04673174276542762</v>
      </c>
      <c r="H5" s="5">
        <v>0.041298807074070715</v>
      </c>
      <c r="I5" s="5">
        <v>0.03586587138271381</v>
      </c>
      <c r="J5" s="5">
        <v>0.030432935691356904</v>
      </c>
      <c r="K5" s="5">
        <v>0.025</v>
      </c>
    </row>
    <row r="6" spans="1:11" x14ac:dyDescent="0.25">
      <c r="A6" t="s">
        <v>50</v>
      </c>
      <c r="B6" s="18">
        <f>Assumptions!B29*(1+B5)</f>
        <v>431854255020</v>
      </c>
      <c r="C6" s="18">
        <f>B6*(1+C5)</f>
        <v>461420502560.00006</v>
      </c>
      <c r="D6" s="18">
        <f>C6*(1+D5)</f>
        <v>490504090543.5745</v>
      </c>
      <c r="E6" s="18">
        <f>D6*(1+E5)</f>
        <v>518755955888.7883</v>
      </c>
      <c r="F6" s="18">
        <f>E6*(1+F5)</f>
        <v>545816693525.2689</v>
      </c>
      <c r="G6" s="18">
        <f>F6*(1+G5)</f>
        <v>571323658844.1681</v>
      </c>
      <c r="H6" s="18">
        <f>G6*(1+H5)</f>
        <v>594918644407.6256</v>
      </c>
      <c r="I6" s="18">
        <f>H6*(1+I5)</f>
        <v>616255919991.1279</v>
      </c>
      <c r="J6" s="18">
        <f>I6*(1+J5)</f>
        <v>635010396773.6359</v>
      </c>
      <c r="K6" s="18">
        <f>J6*(1+K5)</f>
        <v>650885656692.9767</v>
      </c>
    </row>
    <row r="7" spans="1:11" x14ac:dyDescent="0.25">
      <c r="A7" t="s">
        <v>4</v>
      </c>
      <c r="B7" s="9">
        <f>Assumptions!B7</f>
        <v>0.014867567530726097</v>
      </c>
      <c r="C7" s="9">
        <f>Assumptions!B7</f>
        <v>0.014867567530726097</v>
      </c>
      <c r="D7" s="9">
        <f>Assumptions!B7</f>
        <v>0.014867567530726097</v>
      </c>
      <c r="E7" s="9">
        <f>Assumptions!B7</f>
        <v>0.014867567530726097</v>
      </c>
      <c r="F7" s="9">
        <f>Assumptions!B7</f>
        <v>0.014867567530726097</v>
      </c>
      <c r="G7" s="9">
        <f>Assumptions!B7</f>
        <v>0.014867567530726097</v>
      </c>
      <c r="H7" s="9">
        <f>Assumptions!B7</f>
        <v>0.014867567530726097</v>
      </c>
      <c r="I7" s="9">
        <f>Assumptions!B7</f>
        <v>0.014867567530726097</v>
      </c>
      <c r="J7" s="9">
        <f>Assumptions!B7</f>
        <v>0.014867567530726097</v>
      </c>
      <c r="K7" s="9">
        <f>Assumptions!B7</f>
        <v>0.014867567530726097</v>
      </c>
    </row>
    <row r="8" spans="1:11" x14ac:dyDescent="0.25">
      <c r="A8" t="s">
        <v>51</v>
      </c>
      <c r="B8" s="18">
        <f>B6*B7</f>
        <v>6420622299.941259</v>
      </c>
      <c r="C8" s="18">
        <f>C6*C7</f>
        <v>6860200481.872375</v>
      </c>
      <c r="D8" s="18">
        <f>D6*D7</f>
        <v>7292602690.253982</v>
      </c>
      <c r="E8" s="18">
        <f>E6*E7</f>
        <v>7712639206.142929</v>
      </c>
      <c r="F8" s="18">
        <f>F6*F7</f>
        <v>8114966550.384565</v>
      </c>
      <c r="G8" s="18">
        <f>G6*G7</f>
        <v>8494193079.767187</v>
      </c>
      <c r="H8" s="18">
        <f>H6*H7</f>
        <v>8844993121.018398</v>
      </c>
      <c r="I8" s="18">
        <f>I6*I7</f>
        <v>9162226506.677834</v>
      </c>
      <c r="J8" s="18">
        <f>J6*J7</f>
        <v>9441059956.745205</v>
      </c>
      <c r="K8" s="18">
        <f>K6*K7</f>
        <v>9677086455.663834</v>
      </c>
    </row>
    <row r="9" spans="1:11" x14ac:dyDescent="0.25">
      <c r="A9" t="s">
        <v>52</v>
      </c>
      <c r="B9" s="18">
        <f>B8*(1-Assumptions!B8)</f>
        <v>5222605977.689708</v>
      </c>
      <c r="C9" s="18">
        <f>C8*(1-Assumptions!B8)</f>
        <v>5580163786.4766245</v>
      </c>
      <c r="D9" s="18">
        <f>D8*(1-Assumptions!B8)</f>
        <v>5931884578.132704</v>
      </c>
      <c r="E9" s="18">
        <f>E8*(1-Assumptions!B8)</f>
        <v>6273546977.235302</v>
      </c>
      <c r="F9" s="18">
        <f>F8*(1-Assumptions!B8)</f>
        <v>6600804538.086314</v>
      </c>
      <c r="G9" s="18">
        <f>G8*(1-Assumptions!B8)</f>
        <v>6909271637.805032</v>
      </c>
      <c r="H9" s="18">
        <f>H8*(1-Assumptions!B8)</f>
        <v>7194616314.19709</v>
      </c>
      <c r="I9" s="18">
        <f>I8*(1-Assumptions!B8)</f>
        <v>7452657497.570059</v>
      </c>
      <c r="J9" s="18">
        <f>J8*(1-Assumptions!B8)</f>
        <v>7679463743.923316</v>
      </c>
      <c r="K9" s="18">
        <f>K8*(1-Assumptions!B8)</f>
        <v>7871450337.521398</v>
      </c>
    </row>
    <row r="10" spans="1:11" x14ac:dyDescent="0.25">
      <c r="A10" t="s">
        <v>53</v>
      </c>
      <c r="B10" s="18">
        <f>B6*Assumptions!B9</f>
        <v>845454184.1279814</v>
      </c>
      <c r="C10" s="18">
        <f>C6*Assumptions!B9</f>
        <v>903336924.4300286</v>
      </c>
      <c r="D10" s="18">
        <f>D6*Assumptions!B9</f>
        <v>960274747.4671746</v>
      </c>
      <c r="E10" s="18">
        <f>E6*Assumptions!B9</f>
        <v>1015584281.8479929</v>
      </c>
      <c r="F10" s="18">
        <f>F6*Assumptions!B9</f>
        <v>1068561909.3563579</v>
      </c>
      <c r="G10" s="18">
        <f>G6*Assumptions!B9</f>
        <v>1118497669.6333337</v>
      </c>
      <c r="H10" s="18">
        <f>H6*Assumptions!B9</f>
        <v>1164690289.1043184</v>
      </c>
      <c r="I10" s="18">
        <f>I6*Assumptions!B9</f>
        <v>1206462921.2140296</v>
      </c>
      <c r="J10" s="18">
        <f>J6*Assumptions!B9</f>
        <v>1243179129.7093427</v>
      </c>
      <c r="K10" s="18">
        <f>K6*Assumptions!B9</f>
        <v>1274258607.952076</v>
      </c>
    </row>
    <row r="11" spans="1:11" x14ac:dyDescent="0.25">
      <c r="A11" t="s">
        <v>54</v>
      </c>
      <c r="B11" s="18">
        <f>-B6*B19</f>
        <v>-4318542550.2</v>
      </c>
      <c r="C11" s="18">
        <f>-C6*C19</f>
        <v>-4168193416.0341506</v>
      </c>
      <c r="D11" s="18">
        <f>-D6*D19</f>
        <v>-3956792972.332575</v>
      </c>
      <c r="E11" s="18">
        <f>-E6*E19</f>
        <v>-3683262431.3816547</v>
      </c>
      <c r="F11" s="18">
        <f>-F6*F19</f>
        <v>-3347809197.297948</v>
      </c>
      <c r="G11" s="18">
        <f>-G6*G19</f>
        <v>-2952013547.306841</v>
      </c>
      <c r="H11" s="18">
        <f>-H6*H19</f>
        <v>-2498876533.5172796</v>
      </c>
      <c r="I11" s="18">
        <f>-I6*I19</f>
        <v>-1992824537.5294275</v>
      </c>
      <c r="J11" s="18">
        <f>-J6*J19</f>
        <v>-1439667477.2081985</v>
      </c>
      <c r="K11" s="18">
        <f>-K6*K19</f>
        <v>-846509488.7894828</v>
      </c>
    </row>
    <row r="12" spans="1:11" x14ac:dyDescent="0.25">
      <c r="A12" t="s">
        <v>55</v>
      </c>
      <c r="B12" s="18">
        <f>-(B6-Assumptions!B29)*Assumptions!B11</f>
        <v>697606766.6278329</v>
      </c>
      <c r="C12" s="18">
        <f>-(C6-B6)*Assumptions!B11</f>
        <v>725634298.3548689</v>
      </c>
      <c r="D12" s="18">
        <f>-(D6-C6)*Assumptions!B11</f>
        <v>713788549.9859786</v>
      </c>
      <c r="E12" s="18">
        <f>-(E6-D6)*Assumptions!B11</f>
        <v>693375865.8164307</v>
      </c>
      <c r="F12" s="18">
        <f>-(F6-E6)*Assumptions!B11</f>
        <v>664142425.9621397</v>
      </c>
      <c r="G12" s="18">
        <f>-(G6-F6)*Assumptions!B11</f>
        <v>626008723.5385886</v>
      </c>
      <c r="H12" s="18">
        <f>-(H6-G6)*Assumptions!B11</f>
        <v>579083658.515318</v>
      </c>
      <c r="I12" s="18">
        <f>-(I6-H6)*Assumptions!B11</f>
        <v>523673454.8708696</v>
      </c>
      <c r="J12" s="18">
        <f>-(J6-I6)*Assumptions!B11</f>
        <v>460284707.5090069</v>
      </c>
      <c r="K12" s="18">
        <f>-(K6-J6)*Assumptions!B11</f>
        <v>389621073.0559291</v>
      </c>
    </row>
    <row r="13" spans="1:11" x14ac:dyDescent="0.25">
      <c r="A13" s="19" t="s">
        <v>56</v>
      </c>
      <c r="B13" s="20">
        <f>B9+B10+B11+B12</f>
        <v>2447124378.245522</v>
      </c>
      <c r="C13" s="20">
        <f>C9+C10+C11+C12</f>
        <v>3040941593.2273717</v>
      </c>
      <c r="D13" s="20">
        <f>D9+D10+D11+D12</f>
        <v>3649154903.253282</v>
      </c>
      <c r="E13" s="20">
        <f>E9+E10+E11+E12</f>
        <v>4299244693.518071</v>
      </c>
      <c r="F13" s="20">
        <f>F9+F10+F11+F12</f>
        <v>4985699676.106864</v>
      </c>
      <c r="G13" s="20">
        <f>G9+G10+G11+G12</f>
        <v>5701764483.670114</v>
      </c>
      <c r="H13" s="20">
        <f>H9+H10+H11+H12</f>
        <v>6439513728.299447</v>
      </c>
      <c r="I13" s="20">
        <f>I9+I10+I11+I12</f>
        <v>7189969336.12553</v>
      </c>
      <c r="J13" s="20">
        <f>J9+J10+J11+J12</f>
        <v>7943260103.933466</v>
      </c>
      <c r="K13" s="20">
        <f>K9+K10+K11+K12</f>
        <v>8688820529.739918</v>
      </c>
    </row>
    <row r="14" spans="1:11" x14ac:dyDescent="0.25">
      <c r="A14" t="s">
        <v>57</v>
      </c>
      <c r="B14" s="21">
        <f>1/(1+Assumptions!$B$26)^(1-0.5*Assumptions!$B$32)</f>
        <v>0.9670126621287758</v>
      </c>
      <c r="C14" s="21">
        <f>1/(1+Assumptions!$B$26)^(2-0.5*Assumptions!$B$32)</f>
        <v>0.9042665841171228</v>
      </c>
      <c r="D14" s="21">
        <f>1/(1+Assumptions!$B$26)^(3-0.5*Assumptions!$B$32)</f>
        <v>0.8455918802043128</v>
      </c>
      <c r="E14" s="21">
        <f>1/(1+Assumptions!$B$26)^(4-0.5*Assumptions!$B$32)</f>
        <v>0.7907243731289456</v>
      </c>
      <c r="F14" s="21">
        <f>1/(1+Assumptions!$B$26)^(5-0.5*Assumptions!$B$32)</f>
        <v>0.7394170271704733</v>
      </c>
      <c r="G14" s="21">
        <f>1/(1+Assumptions!$B$26)^(6-0.5*Assumptions!$B$32)</f>
        <v>0.6914388358944167</v>
      </c>
      <c r="H14" s="21">
        <f>1/(1+Assumptions!$B$26)^(7-0.5*Assumptions!$B$32)</f>
        <v>0.6465737820679134</v>
      </c>
      <c r="I14" s="21">
        <f>1/(1+Assumptions!$B$26)^(8-0.5*Assumptions!$B$32)</f>
        <v>0.6046198650627188</v>
      </c>
      <c r="J14" s="21">
        <f>1/(1+Assumptions!$B$26)^(9-0.5*Assumptions!$B$32)</f>
        <v>0.5653881913666319</v>
      </c>
      <c r="K14" s="21">
        <f>1/(1+Assumptions!$B$26)^(10-0.5*Assumptions!$B$32)</f>
        <v>0.528702124108462</v>
      </c>
    </row>
    <row r="15" spans="1:11" x14ac:dyDescent="0.25">
      <c r="A15" s="19" t="s">
        <v>58</v>
      </c>
      <c r="B15" s="20">
        <f>B13*B14</f>
        <v>2366400259.5674276</v>
      </c>
      <c r="C15" s="20">
        <f>C13*C14</f>
        <v>2749821867.0073967</v>
      </c>
      <c r="D15" s="20">
        <f>D13*D14</f>
        <v>3085695755.79873</v>
      </c>
      <c r="E15" s="20">
        <f>E13*E14</f>
        <v>3399517565.210023</v>
      </c>
      <c r="F15" s="20">
        <f>F13*F14</f>
        <v>3686511232.871729</v>
      </c>
      <c r="G15" s="20">
        <f>G13*G14</f>
        <v>3942421397.132993</v>
      </c>
      <c r="H15" s="20">
        <f>H13*H14</f>
        <v>4163620745.984823</v>
      </c>
      <c r="I15" s="20">
        <f>I13*I14</f>
        <v>4347198289.813304</v>
      </c>
      <c r="J15" s="20">
        <f>J13*J14</f>
        <v>4491025463.717667</v>
      </c>
      <c r="K15" s="20">
        <f>K13*K14</f>
        <v>4593797870.070706</v>
      </c>
    </row>
    <row r="17" spans="1:2" x14ac:dyDescent="0.25">
      <c r="A17" s="22" t="s">
        <v>59</v>
      </c>
      <c r="B17" s="23">
        <f>SUM(B15:K15)</f>
        <v>36826010447.1748</v>
      </c>
    </row>
    <row r="19" spans="1:11" x14ac:dyDescent="0.25">
      <c r="A19" t="s">
        <v>7</v>
      </c>
      <c r="B19" s="9">
        <f>Assumptions!$B$10+($B$20-Assumptions!$B$10)*0/9</f>
        <v>0.01</v>
      </c>
      <c r="C19" s="9">
        <f>Assumptions!$B$10+($B$20-Assumptions!$B$10)*1/9</f>
        <v>0.009033394469705313</v>
      </c>
      <c r="D19" s="9">
        <f>Assumptions!$B$10+($B$20-Assumptions!$B$10)*2/9</f>
        <v>0.008066788939410626</v>
      </c>
      <c r="E19" s="9">
        <f>Assumptions!$B$10+($B$20-Assumptions!$B$10)*3/9</f>
        <v>0.0071001834091159385</v>
      </c>
      <c r="F19" s="9">
        <f>Assumptions!$B$10+($B$20-Assumptions!$B$10)*4/9</f>
        <v>0.006133577878821251</v>
      </c>
      <c r="G19" s="9">
        <f>Assumptions!$B$10+($B$20-Assumptions!$B$10)*5/9</f>
        <v>0.005166972348526564</v>
      </c>
      <c r="H19" s="9">
        <f>Assumptions!$B$10+($B$20-Assumptions!$B$10)*6/9</f>
        <v>0.004200366818231877</v>
      </c>
      <c r="I19" s="9">
        <f>Assumptions!$B$10+($B$20-Assumptions!$B$10)*7/9</f>
        <v>0.0032337612879371896</v>
      </c>
      <c r="J19" s="9">
        <f>Assumptions!$B$10+($B$20-Assumptions!$B$10)*8/9</f>
        <v>0.0022671557576425024</v>
      </c>
      <c r="K19" s="9">
        <f>Assumptions!$B$10+($B$20-Assumptions!$B$10)*9/9</f>
        <v>0.0013005502273478152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0.001300550227347815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8688820529.739918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8507731415.69163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0.04166666666666667</v>
      </c>
    </row>
    <row r="7" spans="1:2" x14ac:dyDescent="0.25">
      <c r="A7" t="s">
        <v>66</v>
      </c>
      <c r="B7" s="18">
        <f>-MAX(B5,0)*B6</f>
        <v>-354488808.9871513</v>
      </c>
    </row>
    <row r="8" spans="1:2" x14ac:dyDescent="0.25">
      <c r="A8" t="s">
        <v>67</v>
      </c>
      <c r="B8" s="18">
        <f>IF(OR(Assumptions!$B$33=0,Assumptions!B12&lt;=0),B5,MAX(B5+B7,0))</f>
        <v>8153242606.704479</v>
      </c>
    </row>
    <row r="9" spans="1:2" x14ac:dyDescent="0.25">
      <c r="A9" t="s">
        <v>68</v>
      </c>
      <c r="B9" s="18">
        <f>B8*(1+Assumptions!B12)/(Assumptions!B26-Assumptions!B12)</f>
        <v>188269379662.5404</v>
      </c>
    </row>
    <row r="10" spans="1:2" x14ac:dyDescent="0.25">
      <c r="A10" t="s">
        <v>69</v>
      </c>
      <c r="B10" s="18">
        <f>B9/(1+Assumptions!B26)^(10-0.5*Assumptions!B32)</f>
        <v>99538420932.16759</v>
      </c>
    </row>
    <row r="11" spans="1:2" x14ac:dyDescent="0.25">
      <c r="A11" t="s">
        <v>70</v>
      </c>
      <c r="B11" s="18">
        <f>Forecast!B17+B10</f>
        <v>136364431379.34238</v>
      </c>
    </row>
    <row r="12" spans="1:2" x14ac:dyDescent="0.25">
      <c r="A12" t="s">
        <v>71</v>
      </c>
      <c r="B12" s="18">
        <f>-Assumptions!B30</f>
        <v>-4639000000</v>
      </c>
    </row>
    <row r="13" spans="1:2" x14ac:dyDescent="0.25">
      <c r="A13" t="s">
        <v>72</v>
      </c>
      <c r="B13" s="18">
        <f>B11+B12</f>
        <v>131725431379.34238</v>
      </c>
    </row>
    <row r="14" spans="1:2" x14ac:dyDescent="0.25">
      <c r="A14" s="19" t="s">
        <v>73</v>
      </c>
      <c r="B14" s="24">
        <f>B13/Assumptions!B31</f>
        <v>1061.4458612356357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10951345063.61591</v>
      </c>
    </row>
    <row r="18" spans="1:2" x14ac:dyDescent="0.25">
      <c r="A18" t="s">
        <v>68</v>
      </c>
      <c r="B18" s="18">
        <f>B17*Assumptions!B13</f>
        <v>183865262220.2185</v>
      </c>
    </row>
    <row r="19" spans="1:2" x14ac:dyDescent="0.25">
      <c r="A19" t="s">
        <v>69</v>
      </c>
      <c r="B19" s="18">
        <f>B18/(1+Assumptions!B26)^(10-0.5*Assumptions!B32)</f>
        <v>97209954685.58887</v>
      </c>
    </row>
    <row r="20" spans="1:2" x14ac:dyDescent="0.25">
      <c r="A20" t="s">
        <v>70</v>
      </c>
      <c r="B20" s="18">
        <f>Forecast!B17+B19</f>
        <v>134035965132.76367</v>
      </c>
    </row>
    <row r="21" spans="1:2" x14ac:dyDescent="0.25">
      <c r="A21" t="s">
        <v>71</v>
      </c>
      <c r="B21" s="18">
        <f>-Assumptions!B30</f>
        <v>-4639000000</v>
      </c>
    </row>
    <row r="22" spans="1:2" x14ac:dyDescent="0.25">
      <c r="A22" t="s">
        <v>72</v>
      </c>
      <c r="B22" s="18">
        <f>B20+B21</f>
        <v>129396965132.76367</v>
      </c>
    </row>
    <row r="23" spans="1:2" x14ac:dyDescent="0.25">
      <c r="A23" s="19" t="s">
        <v>73</v>
      </c>
      <c r="B23" s="25">
        <f>B22/Assumptions!B31</f>
        <v>1042.6830389424954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994.58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1061.4458612356357</v>
      </c>
    </row>
    <row r="29" spans="1:2" x14ac:dyDescent="0.25">
      <c r="A29" s="19" t="s">
        <v>81</v>
      </c>
      <c r="B29" s="11">
        <f>B28/B26-1</f>
        <v>0.06723024918622489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0.049389</v>
      </c>
      <c r="B5" s="31">
        <v>1544.3465160925948</v>
      </c>
      <c r="C5" s="31">
        <v>1749.4352010922337</v>
      </c>
      <c r="D5" s="31">
        <v>2039.2362817146256</v>
      </c>
      <c r="E5" s="31">
        <v>2479.2861927599824</v>
      </c>
      <c r="F5" s="31">
        <v>3226.2137796202323</v>
      </c>
    </row>
    <row r="6" spans="1:6" x14ac:dyDescent="0.25">
      <c r="A6" s="30">
        <v>0.059389</v>
      </c>
      <c r="B6" s="31">
        <v>1162.4062114069116</v>
      </c>
      <c r="C6" s="31">
        <v>1269.1496813046608</v>
      </c>
      <c r="D6" s="31">
        <v>1407.3492134024316</v>
      </c>
      <c r="E6" s="31">
        <v>1593.0598260064048</v>
      </c>
      <c r="F6" s="31">
        <v>1855.5023238889378</v>
      </c>
    </row>
    <row r="7" spans="1:6" x14ac:dyDescent="0.25">
      <c r="A7" s="30">
        <v>0.069389</v>
      </c>
      <c r="B7" s="31">
        <v>922.1661229011104</v>
      </c>
      <c r="C7" s="31">
        <v>984.6180485186834</v>
      </c>
      <c r="D7" s="32">
        <v>1061.4436142850616</v>
      </c>
      <c r="E7" s="31">
        <v>1158.1165464241171</v>
      </c>
      <c r="F7" s="31">
        <v>1283.2939880801737</v>
      </c>
    </row>
    <row r="8" spans="1:6" x14ac:dyDescent="0.25">
      <c r="A8" s="30">
        <v>0.079389</v>
      </c>
      <c r="B8" s="31">
        <v>757.5337319849381</v>
      </c>
      <c r="C8" s="31">
        <v>796.8862091270637</v>
      </c>
      <c r="D8" s="31">
        <v>843.7088895441354</v>
      </c>
      <c r="E8" s="31">
        <v>900.270558777958</v>
      </c>
      <c r="F8" s="31">
        <v>969.8622310944809</v>
      </c>
    </row>
    <row r="9" spans="1:6" x14ac:dyDescent="0.25">
      <c r="A9" s="30">
        <v>0.089389</v>
      </c>
      <c r="B9" s="31">
        <v>637.9601521699665</v>
      </c>
      <c r="C9" s="31">
        <v>664.0476839748922</v>
      </c>
      <c r="D9" s="31">
        <v>694.3744215908006</v>
      </c>
      <c r="E9" s="31">
        <v>730.0110698142827</v>
      </c>
      <c r="F9" s="31">
        <v>772.4220545239831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403430000000</v>
      </c>
      <c r="C5" s="18">
        <v>359051000000</v>
      </c>
      <c r="D5" s="18">
        <v>308951000000</v>
      </c>
      <c r="E5" s="18">
        <v>276711000000</v>
      </c>
      <c r="F5" s="6" t="s">
        <v>91</v>
      </c>
    </row>
    <row r="6" spans="1:6" x14ac:dyDescent="0.25">
      <c r="A6" t="s">
        <v>51</v>
      </c>
      <c r="B6" s="18">
        <v>6454000000</v>
      </c>
      <c r="C6" s="18">
        <v>4816000000</v>
      </c>
      <c r="D6" s="18">
        <v>4171000000</v>
      </c>
      <c r="E6" s="18">
        <v>4582000000</v>
      </c>
      <c r="F6" s="6" t="s">
        <v>92</v>
      </c>
    </row>
    <row r="7" spans="1:6" x14ac:dyDescent="0.25">
      <c r="A7" t="s">
        <v>93</v>
      </c>
      <c r="B7" s="18">
        <v>729000000</v>
      </c>
      <c r="C7" s="18">
        <v>636000000</v>
      </c>
      <c r="D7" s="18">
        <v>635000000</v>
      </c>
      <c r="E7" s="18">
        <v>608000000</v>
      </c>
      <c r="F7" s="6" t="s">
        <v>94</v>
      </c>
    </row>
    <row r="8" spans="1:6" x14ac:dyDescent="0.25">
      <c r="A8" t="s">
        <v>95</v>
      </c>
      <c r="B8" s="18">
        <v>745000000</v>
      </c>
      <c r="C8" s="18">
        <v>859000000</v>
      </c>
      <c r="D8" s="18">
        <v>687000000</v>
      </c>
      <c r="E8" s="18">
        <v>558000000</v>
      </c>
      <c r="F8" s="6" t="s">
        <v>96</v>
      </c>
    </row>
    <row r="9" spans="1:6" x14ac:dyDescent="0.25">
      <c r="A9" t="s">
        <v>97</v>
      </c>
      <c r="B9" s="18">
        <v>57000000</v>
      </c>
      <c r="C9" s="18">
        <v>-1155000000</v>
      </c>
      <c r="D9" s="18">
        <v>64000000</v>
      </c>
      <c r="E9" s="18">
        <v>-384000000</v>
      </c>
      <c r="F9" s="6" t="s">
        <v>98</v>
      </c>
    </row>
    <row r="10" spans="1:6" x14ac:dyDescent="0.25">
      <c r="A10" t="s">
        <v>99</v>
      </c>
      <c r="B10" s="18">
        <v>8614000000</v>
      </c>
      <c r="C10" s="18">
        <v>7390000000</v>
      </c>
      <c r="D10" s="18">
        <v>7390000000</v>
      </c>
      <c r="E10" s="18">
        <v>7295000000</v>
      </c>
      <c r="F10" s="6" t="s">
        <v>100</v>
      </c>
    </row>
    <row r="11" spans="1:6" x14ac:dyDescent="0.25">
      <c r="A11" t="s">
        <v>101</v>
      </c>
      <c r="B11" s="18">
        <v>3975000000</v>
      </c>
      <c r="C11" s="18">
        <v>5691000000</v>
      </c>
      <c r="D11" s="18">
        <v>4583000000</v>
      </c>
      <c r="E11" s="18">
        <v>4678000000</v>
      </c>
      <c r="F11" s="6" t="s">
        <v>102</v>
      </c>
    </row>
    <row r="12" spans="1:6" x14ac:dyDescent="0.25">
      <c r="A12" t="s">
        <v>34</v>
      </c>
      <c r="B12" s="34">
        <v>124100000</v>
      </c>
      <c r="C12" s="34">
        <v>128100000</v>
      </c>
      <c r="D12" s="34">
        <v>134100000</v>
      </c>
      <c r="E12" s="34">
        <v>142200000</v>
      </c>
      <c r="F12" s="6" t="s">
        <v>103</v>
      </c>
    </row>
    <row r="15" spans="1:1" x14ac:dyDescent="0.25">
      <c r="A15" s="19" t="s">
        <v>104</v>
      </c>
    </row>
    <row r="16" ht="54" customHeight="1" spans="1:6" x14ac:dyDescent="0.25">
      <c r="A16" s="35" t="s">
        <v>105</v>
      </c>
      <c r="B16" s="35"/>
      <c r="C16" s="35"/>
      <c r="D16" s="35"/>
      <c r="E16" s="35"/>
      <c r="F16" s="35"/>
    </row>
    <row r="17" ht="54" customHeight="1" spans="1:6" x14ac:dyDescent="0.25">
      <c r="A17" s="35" t="s">
        <v>106</v>
      </c>
      <c r="B17" s="35"/>
      <c r="C17" s="35"/>
      <c r="D17" s="35"/>
      <c r="E17" s="35"/>
      <c r="F17" s="35"/>
    </row>
    <row r="19" spans="1:1" x14ac:dyDescent="0.25">
      <c r="A19" s="36" t="s">
        <v>107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