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<sst xmlns="http://schemas.openxmlformats.org/spreadsheetml/2006/main" count="113" uniqueCount="101">
  <si>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Moody's Corporation (MCO)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</si>
  <si>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</si>
  <si>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</si>
  <si>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</si>
  <si>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</si>
  <si>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</si>
  <si>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</si>
  <si>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</si>
  <si>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</si>
  <si>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</si>
  <si>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</si>
  <si>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</si>
  <si>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</si>
  <si>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</si>
  <si>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</si>
  <si>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</si>
  <si>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</si>
  <si>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</si>
  <si>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</si>
  <si>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</si>
  <si>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</si>
  <si>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</si>
  <si>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</si>
  <si>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</si>
  <si>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</si>
  <si>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</si>
  <si>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</si>
  <si>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</si>
  <si>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</si>
  <si>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</si>
  <si>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</si>
  <si>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</si>
  <si>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</si>
  <si>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</si>
  <si>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</si>
  <si>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</si>
  <si>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</si>
  <si>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</si>
  <si>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</si>
  <si>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</si>
  <si>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</si>
  <si>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</si>
  <si>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</si>
  <si>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</si>
  <si>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</si>
  <si>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</si>
  <si>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</si>
  <si>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</si>
  <si>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</si>
  <si>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</si>
  <si>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</si>
  <si>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</si>
  <si>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</si>
  <si>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</si>
  <si>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</si>
  <si>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</si>
  <si>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</si>
  <si>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</si>
  <si>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</si>
  <si>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</si>
  <si>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</si>
  <si>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</si>
  <si>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</si>
  <si>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</si>
  <si>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</si>
  <si>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</si>
  <si>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</si>
  <si>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</si>
  <si>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</si>
  <si>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</si>
  <si>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</si>
  <si>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</si>
  <si>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</si>
  <si>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</si>
  <si>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</si>
  <si>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</si>
  <si>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</si>
  <si>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</si>
  <si>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</si>
  <si>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</si>
  <si>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</si>
  <si>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</si>
  <si>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</si>
  <si>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</si>
  <si>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</si>
  <si>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</si>
  <si>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</si>
  <si>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</si>
  <si>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</si>
  <si>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</si>
  <si>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</si>
  <si>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</si>
  <si>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</si>
  <si>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</si>
  <si>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</si>
  <si>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</si>
  <si>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</si>
  <si>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</si>
  <si>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</si>
  <si>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Current EV/EBITDA of 21.8x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</si>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</sst>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0.12173969738374057</v>
      </c>
    </row>
    <row r="7" spans="1:2" x14ac:dyDescent="0.25">
      <c r="A7" t="s">
        <v>5</v>
      </c>
      <c r="B7" s="6">
        <v>0.40242823253969223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0.061645662325644404</v>
      </c>
    </row>
    <row r="10" spans="1:2" x14ac:dyDescent="0.25">
      <c r="A10" t="s">
        <v>8</v>
      </c>
      <c r="B10" s="6">
        <v>0.04613151150279632</v>
      </c>
    </row>
    <row r="11" spans="1:2" x14ac:dyDescent="0.25">
      <c r="A11" t="s">
        <v>9</v>
      </c>
      <c r="B11" s="6">
        <v>0.08482142857142858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0.19210171535477558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1.22378</v>
      </c>
      <c r="C19" s="8" t="s">
        <v>19</v>
      </c>
    </row>
    <row r="20" spans="1:2" x14ac:dyDescent="0.25">
      <c r="A20" t="s">
        <v>20</v>
      </c>
      <c r="B20" s="10">
        <f>B17+B19*B18</f>
        <v>0.1172879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81150877696</v>
      </c>
    </row>
    <row r="23" spans="1:2" x14ac:dyDescent="0.25">
      <c r="A23" t="s">
        <v>24</v>
      </c>
      <c r="B23" s="11">
        <v>7351000000</v>
      </c>
    </row>
    <row r="24" spans="1:2" x14ac:dyDescent="0.25">
      <c r="A24" t="s">
        <v>25</v>
      </c>
      <c r="B24" s="10">
        <f>B22/(B22+B23)</f>
        <v>0.9169396153915473</v>
      </c>
    </row>
    <row r="25" spans="1:2" x14ac:dyDescent="0.25">
      <c r="A25" t="s">
        <v>26</v>
      </c>
      <c r="B25" s="10">
        <f>1-B24</f>
        <v>0.08306038460845266</v>
      </c>
    </row>
    <row r="26" spans="1:2" x14ac:dyDescent="0.25">
      <c r="A26" t="s">
        <v>27</v>
      </c>
      <c r="B26" s="12">
        <f>B24*B20+B25*B21*(1-B8)</f>
        <v>0.11082549475403934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7718000000</v>
      </c>
      <c r="C29" s="8" t="s">
        <v>30</v>
      </c>
    </row>
    <row r="30" spans="1:2" x14ac:dyDescent="0.25">
      <c r="A30" t="s">
        <v>31</v>
      </c>
      <c r="B30" s="11">
        <v>4903000000</v>
      </c>
    </row>
    <row r="31" spans="1:2" x14ac:dyDescent="0.25">
      <c r="A31" t="s">
        <v>32</v>
      </c>
      <c r="B31" s="13">
        <v>179900000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0.12173969738374057</v>
      </c>
      <c r="C5" s="10">
        <f>Assumptions!B6</f>
        <v>0.12173969738374057</v>
      </c>
      <c r="D5" s="10">
        <f>Assumptions!B6</f>
        <v>0.12173969738374057</v>
      </c>
      <c r="E5" s="10">
        <f>Assumptions!B6</f>
        <v>0.12173969738374057</v>
      </c>
      <c r="F5" s="10">
        <f>Assumptions!B6</f>
        <v>0.12173969738374057</v>
      </c>
    </row>
    <row r="6" spans="1:6" x14ac:dyDescent="0.25">
      <c r="A6" t="s">
        <v>43</v>
      </c>
      <c r="B6" s="18">
        <f>Assumptions!B29*(1+B5)</f>
        <v>8657586984.40771</v>
      </c>
      <c r="C6" s="18">
        <f>B6*(1+C5)</f>
        <v>9711559003.962915</v>
      </c>
      <c r="D6" s="18">
        <f>C6*(1+D5)</f>
        <v>10893841258.229702</v>
      </c>
      <c r="E6" s="18">
        <f>D6*(1+E5)</f>
        <v>12220054196.353094</v>
      </c>
      <c r="F6" s="18">
        <f>E6*(1+F5)</f>
        <v>13707719896.230028</v>
      </c>
    </row>
    <row r="7" spans="1:6" x14ac:dyDescent="0.25">
      <c r="A7" t="s">
        <v>5</v>
      </c>
      <c r="B7" s="10">
        <f>Assumptions!B7</f>
        <v>0.40242823253969223</v>
      </c>
      <c r="C7" s="10">
        <f>Assumptions!B7</f>
        <v>0.40242823253969223</v>
      </c>
      <c r="D7" s="10">
        <f>Assumptions!B7</f>
        <v>0.40242823253969223</v>
      </c>
      <c r="E7" s="10">
        <f>Assumptions!B7</f>
        <v>0.40242823253969223</v>
      </c>
      <c r="F7" s="10">
        <f>Assumptions!B7</f>
        <v>0.40242823253969223</v>
      </c>
    </row>
    <row r="8" spans="1:6" x14ac:dyDescent="0.25">
      <c r="A8" t="s">
        <v>44</v>
      </c>
      <c r="B8" s="18">
        <f>B6*B7</f>
        <v>3484057428.1938386</v>
      </c>
      <c r="C8" s="18">
        <f>C6*C7</f>
        <v>3908205525.16973</v>
      </c>
      <c r="D8" s="18">
        <f>D6*D7</f>
        <v>4383989283.117356</v>
      </c>
      <c r="E8" s="18">
        <f>E6*E7</f>
        <v>4917694811.777625</v>
      </c>
      <c r="F8" s="18">
        <f>F6*F7</f>
        <v>5516373489.989023</v>
      </c>
    </row>
    <row r="9" spans="1:6" x14ac:dyDescent="0.25">
      <c r="A9" t="s">
        <v>45</v>
      </c>
      <c r="B9" s="18">
        <f>B8*(1-Assumptions!B8)</f>
        <v>2752405368.273133</v>
      </c>
      <c r="C9" s="18">
        <f>C8*(1-Assumptions!B8)</f>
        <v>3087482364.884087</v>
      </c>
      <c r="D9" s="18">
        <f>D8*(1-Assumptions!B8)</f>
        <v>3463351533.6627116</v>
      </c>
      <c r="E9" s="18">
        <f>E8*(1-Assumptions!B8)</f>
        <v>3884978901.304324</v>
      </c>
      <c r="F9" s="18">
        <f>F8*(1-Assumptions!B8)</f>
        <v>4357935057.091329</v>
      </c>
    </row>
    <row r="10" spans="1:6" x14ac:dyDescent="0.25">
      <c r="A10" t="s">
        <v>46</v>
      </c>
      <c r="B10" s="18">
        <f>B6*Assumptions!B9</f>
        <v>533702683.79569167</v>
      </c>
      <c r="C10" s="18">
        <f>C6*Assumptions!B9</f>
        <v>598675487.0138694</v>
      </c>
      <c r="D10" s="18">
        <f>D6*Assumptions!B9</f>
        <v>671558059.6340014</v>
      </c>
      <c r="E10" s="18">
        <f>E6*Assumptions!B9</f>
        <v>753313334.5894568</v>
      </c>
      <c r="F10" s="18">
        <f>F6*Assumptions!B9</f>
        <v>845021471.9775137</v>
      </c>
    </row>
    <row r="11" spans="1:6" x14ac:dyDescent="0.25">
      <c r="A11" t="s">
        <v>47</v>
      </c>
      <c r="B11" s="18">
        <f>-B6*Assumptions!B10</f>
        <v>-399387573.5576639</v>
      </c>
      <c r="C11" s="18">
        <f>-C6*Assumptions!B10</f>
        <v>-448008895.9014004</v>
      </c>
      <c r="D11" s="18">
        <f>-D6*Assumptions!B10</f>
        <v>-502549363.3136606</v>
      </c>
      <c r="E11" s="18">
        <f>-E6*Assumptions!B10</f>
        <v>-563729570.7238572</v>
      </c>
      <c r="F11" s="18">
        <f>-F6*Assumptions!B10</f>
        <v>-632357838.0700455</v>
      </c>
    </row>
    <row r="12" spans="1:6" x14ac:dyDescent="0.25">
      <c r="A12" t="s">
        <v>48</v>
      </c>
      <c r="B12" s="18">
        <f>-(B6-Assumptions!B29)*Assumptions!B11</f>
        <v>-79697110.28458248</v>
      </c>
      <c r="C12" s="18">
        <f>-(C6-B6)*Assumptions!B11</f>
        <v>-89399412.37298626</v>
      </c>
      <c r="D12" s="18">
        <f>-(D6-C6)*Assumptions!B11</f>
        <v>-100282869.7815578</v>
      </c>
      <c r="E12" s="18">
        <f>-(E6-D6)*Assumptions!B11</f>
        <v>-112491276.00153773</v>
      </c>
      <c r="F12" s="18">
        <f>-(F6-E6)*Assumptions!B11</f>
        <v>-126185929.90027566</v>
      </c>
    </row>
    <row r="13" spans="1:6" x14ac:dyDescent="0.25">
      <c r="A13" s="19" t="s">
        <v>49</v>
      </c>
      <c r="B13" s="20">
        <f>B9+B10+B11+B12</f>
        <v>2807023368.2265778</v>
      </c>
      <c r="C13" s="20">
        <f>C9+C10+C11+C12</f>
        <v>3148749543.6235695</v>
      </c>
      <c r="D13" s="20">
        <f>D9+D10+D11+D12</f>
        <v>3532077360.201494</v>
      </c>
      <c r="E13" s="20">
        <f>E9+E10+E11+E12</f>
        <v>3962071389.168386</v>
      </c>
      <c r="F13" s="20">
        <f>F9+F10+F11+F12</f>
        <v>4444412761.098521</v>
      </c>
    </row>
    <row r="14" spans="1:6" x14ac:dyDescent="0.25">
      <c r="A14" t="s">
        <v>50</v>
      </c>
      <c r="B14" s="21">
        <f>1/(1+Assumptions!$B$26)^(1-0.5*Assumptions!$B$32)</f>
        <v>0.9488052533233233</v>
      </c>
      <c r="C14" s="21">
        <f>1/(1+Assumptions!$B$26)^(2-0.5*Assumptions!$B$32)</f>
        <v>0.8541442898134142</v>
      </c>
      <c r="D14" s="21">
        <f>1/(1+Assumptions!$B$26)^(3-0.5*Assumptions!$B$32)</f>
        <v>0.768927517280777</v>
      </c>
      <c r="E14" s="21">
        <f>1/(1+Assumptions!$B$26)^(4-0.5*Assumptions!$B$32)</f>
        <v>0.6922127020959616</v>
      </c>
      <c r="F14" s="21">
        <f>1/(1+Assumptions!$B$26)^(5-0.5*Assumptions!$B$32)</f>
        <v>0.6231516159513718</v>
      </c>
    </row>
    <row r="15" spans="1:6" x14ac:dyDescent="0.25">
      <c r="A15" s="19" t="s">
        <v>51</v>
      </c>
      <c r="B15" s="20">
        <f>B13*B14</f>
        <v>2663318517.974706</v>
      </c>
      <c r="C15" s="20">
        <f>C13*C14</f>
        <v>2689486442.7386656</v>
      </c>
      <c r="D15" s="20">
        <f>D13*D14</f>
        <v>2715911475.4233756</v>
      </c>
      <c r="E15" s="20">
        <f>E13*E14</f>
        <v>2742596142.193349</v>
      </c>
      <c r="F15" s="20">
        <f>F13*F14</f>
        <v>2769542994.0334415</v>
      </c>
    </row>
    <row r="17" spans="1:2" x14ac:dyDescent="0.25">
      <c r="A17" s="22" t="s">
        <v>52</v>
      </c>
      <c r="B17" s="23">
        <f>SUM(B15:F15)</f>
        <v>13580855572.363539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4444412761.098521</v>
      </c>
    </row>
    <row r="5" spans="1:2" x14ac:dyDescent="0.25">
      <c r="A5" t="s">
        <v>56</v>
      </c>
      <c r="B5" s="18">
        <f>IF(Assumptions!$B$33=0,B4,B4-Forecast!F11-Forecast!F10-Forecast!F12)</f>
        <v>4698609026.2550535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0.1301393897177322</v>
      </c>
    </row>
    <row r="7" spans="1:2" x14ac:dyDescent="0.25">
      <c r="A7" t="s">
        <v>58</v>
      </c>
      <c r="B7" s="18">
        <f>-MAX(Forecast!F9,0)*B6</f>
        <v>-611474111.1990607</v>
      </c>
    </row>
    <row r="8" spans="1:2" x14ac:dyDescent="0.25">
      <c r="A8" t="s">
        <v>59</v>
      </c>
      <c r="B8" s="18">
        <f>IF(OR(Assumptions!$B$33=0,Assumptions!B12&lt;=0),B5,MAX(B5+B7,0))</f>
        <v>4087134915.055993</v>
      </c>
    </row>
    <row r="9" spans="1:2" x14ac:dyDescent="0.25">
      <c r="A9" t="s">
        <v>60</v>
      </c>
      <c r="B9" s="18">
        <f>B8*(1+Assumptions!B12)/(Assumptions!B26-Assumptions!B12)</f>
        <v>48811991121.4986</v>
      </c>
    </row>
    <row r="10" spans="1:2" x14ac:dyDescent="0.25">
      <c r="A10" t="s">
        <v>61</v>
      </c>
      <c r="B10" s="18">
        <f>B9/(1+Assumptions!B26)^(5-0.5*Assumptions!B32)</f>
        <v>30417271145.165863</v>
      </c>
    </row>
    <row r="11" spans="1:2" x14ac:dyDescent="0.25">
      <c r="A11" t="s">
        <v>62</v>
      </c>
      <c r="B11" s="18">
        <f>Forecast!B17+B10</f>
        <v>43998126717.5294</v>
      </c>
    </row>
    <row r="12" spans="1:2" x14ac:dyDescent="0.25">
      <c r="A12" t="s">
        <v>63</v>
      </c>
      <c r="B12" s="18">
        <f>-Assumptions!B30</f>
        <v>-4903000000</v>
      </c>
    </row>
    <row r="13" spans="1:2" x14ac:dyDescent="0.25">
      <c r="A13" t="s">
        <v>64</v>
      </c>
      <c r="B13" s="18">
        <f>B11+B12</f>
        <v>39095126717.5294</v>
      </c>
    </row>
    <row r="14" spans="1:2" x14ac:dyDescent="0.25">
      <c r="A14" s="19" t="s">
        <v>65</v>
      </c>
      <c r="B14" s="24">
        <f>B13/Assumptions!B31</f>
        <v>217.31587947487162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6361394961.9665365</v>
      </c>
    </row>
    <row r="18" spans="1:2" x14ac:dyDescent="0.25">
      <c r="A18" t="s">
        <v>60</v>
      </c>
      <c r="B18" s="18">
        <f>B17*Assumptions!B13</f>
        <v>127227899239.33073</v>
      </c>
    </row>
    <row r="19" spans="1:2" x14ac:dyDescent="0.25">
      <c r="A19" t="s">
        <v>61</v>
      </c>
      <c r="B19" s="18">
        <f>B18/(1+Assumptions!B26)^(5-0.5*Assumptions!B32)</f>
        <v>79282271005.08725</v>
      </c>
    </row>
    <row r="20" spans="1:2" x14ac:dyDescent="0.25">
      <c r="A20" t="s">
        <v>62</v>
      </c>
      <c r="B20" s="18">
        <f>Forecast!B17+B19</f>
        <v>92863126577.45079</v>
      </c>
    </row>
    <row r="21" spans="1:2" x14ac:dyDescent="0.25">
      <c r="A21" t="s">
        <v>63</v>
      </c>
      <c r="B21" s="18">
        <f>-Assumptions!B30</f>
        <v>-4903000000</v>
      </c>
    </row>
    <row r="22" spans="1:2" x14ac:dyDescent="0.25">
      <c r="A22" t="s">
        <v>64</v>
      </c>
      <c r="B22" s="18">
        <f>B20+B21</f>
        <v>87960126577.45079</v>
      </c>
    </row>
    <row r="23" spans="1:2" x14ac:dyDescent="0.25">
      <c r="A23" s="19" t="s">
        <v>65</v>
      </c>
      <c r="B23" s="25">
        <f>B22/Assumptions!B31</f>
        <v>488.93900265397883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468.59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217.31587947487162</v>
      </c>
    </row>
    <row r="29" spans="1:2" x14ac:dyDescent="0.25">
      <c r="A29" s="19" t="s">
        <v>73</v>
      </c>
      <c r="B29" s="12">
        <f>B28/B26-1</f>
        <v>-0.5362344918268174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0.090825</v>
      </c>
      <c r="B5" s="31">
        <v>269.76368202903353</v>
      </c>
      <c r="C5" s="31">
        <v>279.6801981130964</v>
      </c>
      <c r="D5" s="31">
        <v>291.0333737168364</v>
      </c>
      <c r="E5" s="31">
        <v>304.17750218665964</v>
      </c>
      <c r="F5" s="31">
        <v>319.5938068632066</v>
      </c>
    </row>
    <row r="6" spans="1:6" x14ac:dyDescent="0.25">
      <c r="A6" s="30">
        <v>0.100825</v>
      </c>
      <c r="B6" s="31">
        <v>234.80356381443818</v>
      </c>
      <c r="C6" s="31">
        <v>241.63569322886346</v>
      </c>
      <c r="D6" s="31">
        <v>249.31067396461233</v>
      </c>
      <c r="E6" s="31">
        <v>258.0070131846903</v>
      </c>
      <c r="F6" s="31">
        <v>267.95745494173605</v>
      </c>
    </row>
    <row r="7" spans="1:6" x14ac:dyDescent="0.25">
      <c r="A7" s="30">
        <v>0.110825</v>
      </c>
      <c r="B7" s="31">
        <v>207.16924009123196</v>
      </c>
      <c r="C7" s="31">
        <v>211.98724991471605</v>
      </c>
      <c r="D7" s="32">
        <v>217.31727775798652</v>
      </c>
      <c r="E7" s="31">
        <v>223.25434707043158</v>
      </c>
      <c r="F7" s="31">
        <v>229.9185451852213</v>
      </c>
    </row>
    <row r="8" spans="1:6" x14ac:dyDescent="0.25">
      <c r="A8" s="30">
        <v>0.120825</v>
      </c>
      <c r="B8" s="31">
        <v>184.7828240634939</v>
      </c>
      <c r="C8" s="31">
        <v>188.23608679545947</v>
      </c>
      <c r="D8" s="31">
        <v>192.0072615238016</v>
      </c>
      <c r="E8" s="31">
        <v>196.1488522941646</v>
      </c>
      <c r="F8" s="31">
        <v>200.72559829245384</v>
      </c>
    </row>
    <row r="9" spans="1:6" x14ac:dyDescent="0.25">
      <c r="A9" s="30">
        <v>0.130825</v>
      </c>
      <c r="B9" s="31">
        <v>166.2840739286156</v>
      </c>
      <c r="C9" s="31">
        <v>168.78532323575837</v>
      </c>
      <c r="D9" s="31">
        <v>171.4859886133632</v>
      </c>
      <c r="E9" s="31">
        <v>174.4157377138669</v>
      </c>
      <c r="F9" s="31">
        <v>177.61043023821892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7718000000</v>
      </c>
      <c r="C5" s="18">
        <v>7088000000</v>
      </c>
      <c r="D5" s="18">
        <v>5916000000</v>
      </c>
      <c r="E5" s="18">
        <v>5468000000</v>
      </c>
      <c r="F5" s="8" t="s">
        <v>84</v>
      </c>
    </row>
    <row r="6" spans="1:6" x14ac:dyDescent="0.25">
      <c r="A6" t="s">
        <v>44</v>
      </c>
      <c r="B6" s="18">
        <v>3462000000</v>
      </c>
      <c r="C6" s="18">
        <v>2977000000</v>
      </c>
      <c r="D6" s="18">
        <v>2224000000</v>
      </c>
      <c r="E6" s="18">
        <v>1997000000</v>
      </c>
      <c r="F6" s="8" t="s">
        <v>85</v>
      </c>
    </row>
    <row r="7" spans="1:6" x14ac:dyDescent="0.25">
      <c r="A7" t="s">
        <v>86</v>
      </c>
      <c r="B7" s="18">
        <v>480000000</v>
      </c>
      <c r="C7" s="18">
        <v>431000000</v>
      </c>
      <c r="D7" s="18">
        <v>373000000</v>
      </c>
      <c r="E7" s="18">
        <v>331000000</v>
      </c>
      <c r="F7" s="8" t="s">
        <v>87</v>
      </c>
    </row>
    <row r="8" spans="1:6" x14ac:dyDescent="0.25">
      <c r="A8" t="s">
        <v>88</v>
      </c>
      <c r="B8" s="18">
        <v>326000000</v>
      </c>
      <c r="C8" s="18">
        <v>317000000</v>
      </c>
      <c r="D8" s="18">
        <v>271000000</v>
      </c>
      <c r="E8" s="18">
        <v>283000000</v>
      </c>
      <c r="F8" s="8" t="s">
        <v>89</v>
      </c>
    </row>
    <row r="9" spans="1:6" x14ac:dyDescent="0.25">
      <c r="A9" t="s">
        <v>90</v>
      </c>
      <c r="B9" s="18">
        <v>254000000</v>
      </c>
      <c r="C9" s="18">
        <v>-150000000</v>
      </c>
      <c r="D9" s="18">
        <v>38000000</v>
      </c>
      <c r="E9" s="18">
        <v>452000000</v>
      </c>
      <c r="F9" s="8" t="s">
        <v>91</v>
      </c>
    </row>
    <row r="10" spans="1:6" x14ac:dyDescent="0.25">
      <c r="A10" t="s">
        <v>92</v>
      </c>
      <c r="B10" s="18">
        <v>7351000000</v>
      </c>
      <c r="C10" s="18">
        <v>7746000000</v>
      </c>
      <c r="D10" s="18">
        <v>7415000000</v>
      </c>
      <c r="E10" s="18">
        <v>7863000000</v>
      </c>
      <c r="F10" s="8" t="s">
        <v>93</v>
      </c>
    </row>
    <row r="11" spans="1:6" x14ac:dyDescent="0.25">
      <c r="A11" t="s">
        <v>94</v>
      </c>
      <c r="B11" s="18">
        <v>2448000000</v>
      </c>
      <c r="C11" s="18">
        <v>2974000000</v>
      </c>
      <c r="D11" s="18">
        <v>2193000000</v>
      </c>
      <c r="E11" s="18">
        <v>1859000000</v>
      </c>
      <c r="F11" s="8" t="s">
        <v>95</v>
      </c>
    </row>
    <row r="12" spans="1:6" x14ac:dyDescent="0.25">
      <c r="A12" t="s">
        <v>32</v>
      </c>
      <c r="B12" s="34">
        <v>179900000</v>
      </c>
      <c r="C12" s="34">
        <v>182700000</v>
      </c>
      <c r="D12" s="34">
        <v>184000000</v>
      </c>
      <c r="E12" s="34">
        <v>184700000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2026-09-19T00:07:51Z</dcterms:modified>
</cp:coreProperties>
</file>