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<sst xmlns="http://schemas.openxmlformats.org/spreadsheetml/2006/main" count="70" uniqueCount="67">
  <si>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Moody's Corporation (MCO)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</si>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</sst>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1.23182</v>
      </c>
    </row>
    <row r="9" spans="1:2" x14ac:dyDescent="0.25">
      <c r="A9" t="s">
        <v>8</v>
      </c>
      <c r="B9" s="8">
        <f>B6+B8*B7</f>
        <v>0.101045986</v>
      </c>
    </row>
    <row r="10" spans="1:2" x14ac:dyDescent="0.25">
      <c r="A10" t="s">
        <v>9</v>
      </c>
      <c r="B10" s="8">
        <f>MEDIAN('Source data'!B9:E9)</f>
        <v>0.6379515680825725</v>
      </c>
    </row>
    <row r="11" spans="1:2" x14ac:dyDescent="0.25">
      <c r="A11" t="s">
        <v>10</v>
      </c>
      <c r="B11" s="8">
        <f>IFERROR(MIN(MAX(MEDIAN('Source data'!B10:E10),0),1),0)</f>
        <v>0.3012633624878523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4054000000</v>
      </c>
    </row>
    <row r="15" spans="1:2" x14ac:dyDescent="0.25">
      <c r="A15" t="s">
        <v>14</v>
      </c>
      <c r="B15" s="10">
        <f>'Source data'!B8</f>
        <v>179900000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0.5941564112743152</v>
      </c>
      <c r="C22" s="8">
        <f>$B$10+($B$18-$B$10)*C21/$B$16</f>
        <v>0.550361254466058</v>
      </c>
      <c r="D22" s="8">
        <f>$B$10+($B$18-$B$10)*D21/$B$16</f>
        <v>0.5065660976578008</v>
      </c>
      <c r="E22" s="8">
        <f>$B$10+($B$18-$B$10)*E21/$B$16</f>
        <v>0.4627709408495435</v>
      </c>
      <c r="F22" s="8">
        <f>$B$10+($B$18-$B$10)*F21/$B$16</f>
        <v>0.4189757840412862</v>
      </c>
      <c r="G22" s="8">
        <f>$B$10+($B$18-$B$10)*G21/$B$16</f>
        <v>0.37518062723302903</v>
      </c>
      <c r="H22" s="8">
        <f>$B$10+($B$18-$B$10)*H21/$B$16</f>
        <v>0.3313854704247718</v>
      </c>
      <c r="I22" s="8">
        <f>$B$10+($B$18-$B$10)*I21/$B$16</f>
        <v>0.2875903136165145</v>
      </c>
      <c r="J22" s="8">
        <f>$B$10+($B$18-$B$10)*J21/$B$16</f>
        <v>0.24379515680825725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4054000000</v>
      </c>
      <c r="C24" s="9">
        <f>B24*(1+B23)</f>
        <v>4793855000</v>
      </c>
      <c r="D24" s="9">
        <f>C24*(1+C23)</f>
        <v>5584841075</v>
      </c>
      <c r="E24" s="9">
        <f>D24*(1+D23)</f>
        <v>6408605133.5625</v>
      </c>
      <c r="F24" s="9">
        <f>E24*(1+E23)</f>
        <v>7241723800.925624</v>
      </c>
      <c r="G24" s="9">
        <f>F24*(1+F23)</f>
        <v>8056417728.529757</v>
      </c>
      <c r="H24" s="9">
        <f>G24*(1+G23)</f>
        <v>8821777412.740084</v>
      </c>
      <c r="I24" s="9">
        <f>H24*(1+H23)</f>
        <v>9505465162.22744</v>
      </c>
      <c r="J24" s="9">
        <f>I24*(1+I23)</f>
        <v>10075793071.961086</v>
      </c>
      <c r="K24" s="9">
        <f>J24*(1+J23)</f>
        <v>10504014277.519432</v>
      </c>
    </row>
    <row r="25" spans="1:11" x14ac:dyDescent="0.25">
      <c r="A25" t="s">
        <v>33</v>
      </c>
      <c r="B25" s="9">
        <f>(B22-$B$9)*B24</f>
        <v>1999069664.0620737</v>
      </c>
      <c r="C25" s="9">
        <f>(C22-$B$9)*C24</f>
        <v>2153952246.312354</v>
      </c>
      <c r="D25" s="9">
        <f>(D22-$B$9)*D24</f>
        <v>2264765376.3250723</v>
      </c>
      <c r="E25" s="9">
        <f>(E22-$B$9)*E24</f>
        <v>2318152402.5864477</v>
      </c>
      <c r="F25" s="9">
        <f>(F22-$B$9)*F24</f>
        <v>2302359785.4990587</v>
      </c>
      <c r="G25" s="9">
        <f>(G22-$B$9)*G24</f>
        <v>2208543183.6339192</v>
      </c>
      <c r="H25" s="9">
        <f>(H22-$B$9)*H24</f>
        <v>2032003660.960648</v>
      </c>
      <c r="I25" s="9">
        <f>(I22-$B$9)*I24</f>
        <v>1773190607.3699205</v>
      </c>
      <c r="J25" s="9">
        <f>(J22-$B$9)*J24</f>
        <v>1438311106.258028</v>
      </c>
      <c r="K25" s="9">
        <f>(K22-$B$9)*K24</f>
        <v>1039414375.8738579</v>
      </c>
    </row>
    <row r="26" spans="1:11" x14ac:dyDescent="0.25">
      <c r="A26" t="s">
        <v>34</v>
      </c>
      <c r="B26" s="14">
        <f>1/(1+$B$9)^B21</f>
        <v>0.9082272790738825</v>
      </c>
      <c r="C26" s="14">
        <f>1/(1+$B$9)^C21</f>
        <v>0.824876790453948</v>
      </c>
      <c r="D26" s="14">
        <f>1/(1+$B$9)^D21</f>
        <v>0.7491756029651861</v>
      </c>
      <c r="E26" s="14">
        <f>1/(1+$B$9)^E21</f>
        <v>0.6804217194296063</v>
      </c>
      <c r="F26" s="14">
        <f>1/(1+$B$9)^F21</f>
        <v>0.617977566860324</v>
      </c>
      <c r="G26" s="14">
        <f>1/(1+$B$9)^G21</f>
        <v>0.5612640840782505</v>
      </c>
      <c r="H26" s="14">
        <f>1/(1+$B$9)^H21</f>
        <v>0.5097553519242841</v>
      </c>
      <c r="I26" s="14">
        <f>1/(1+$B$9)^I21</f>
        <v>0.46297371627154194</v>
      </c>
      <c r="J26" s="14">
        <f>1/(1+$B$9)^J21</f>
        <v>0.42048535861202624</v>
      </c>
      <c r="K26" s="14">
        <f>1/(1+$B$9)^K21</f>
        <v>0.38189627314260627</v>
      </c>
    </row>
    <row r="27" spans="1:11" x14ac:dyDescent="0.25">
      <c r="A27" s="15" t="s">
        <v>35</v>
      </c>
      <c r="B27" s="16">
        <f>B25*B26</f>
        <v>1815609601.6702375</v>
      </c>
      <c r="C27" s="16">
        <f>C25*C26</f>
        <v>1776745215.7292063</v>
      </c>
      <c r="D27" s="16">
        <f>D25*D26</f>
        <v>1696706966.3830128</v>
      </c>
      <c r="E27" s="16">
        <f>E25*E26</f>
        <v>1577321243.6677437</v>
      </c>
      <c r="F27" s="16">
        <f>F25*F26</f>
        <v>1422806698.2797658</v>
      </c>
      <c r="G27" s="16">
        <f>G25*G26</f>
        <v>1239575967.1095548</v>
      </c>
      <c r="H27" s="16">
        <f>H25*H26</f>
        <v>1035824741.3044288</v>
      </c>
      <c r="I27" s="16">
        <f>I25*I26</f>
        <v>820940645.1518446</v>
      </c>
      <c r="J27" s="16">
        <f>J25*J26</f>
        <v>604788761.3105671</v>
      </c>
      <c r="K27" s="16">
        <f>K25*K26</f>
        <v>396948476.39707446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4054000000</v>
      </c>
    </row>
    <row r="31" spans="1:2" x14ac:dyDescent="0.25">
      <c r="A31" t="s">
        <v>38</v>
      </c>
      <c r="B31" s="9">
        <f>SUM(B27:K27)</f>
        <v>12387268317.003435</v>
      </c>
    </row>
    <row r="32" spans="1:2" x14ac:dyDescent="0.25">
      <c r="A32" t="s">
        <v>39</v>
      </c>
      <c r="B32" s="9">
        <f>K24*(1+K23)</f>
        <v>10766614634.457417</v>
      </c>
    </row>
    <row r="33" spans="1:2" x14ac:dyDescent="0.25">
      <c r="A33" t="s">
        <v>40</v>
      </c>
      <c r="B33" s="9">
        <f>(B18-B9)*B32</f>
        <v>1065399735.2707042</v>
      </c>
    </row>
    <row r="34" spans="1:2" x14ac:dyDescent="0.25">
      <c r="A34" t="s">
        <v>41</v>
      </c>
      <c r="B34" s="9">
        <f>B33/(B9-B13)</f>
        <v>14009940449.331593</v>
      </c>
    </row>
    <row r="35" spans="1:2" x14ac:dyDescent="0.25">
      <c r="A35" t="s">
        <v>42</v>
      </c>
      <c r="B35" s="9">
        <f>B34*K26</f>
        <v>5350344044.549586</v>
      </c>
    </row>
    <row r="36" spans="1:2" x14ac:dyDescent="0.25">
      <c r="A36" s="15" t="s">
        <v>43</v>
      </c>
      <c r="B36" s="16">
        <f>B30+B31+B35</f>
        <v>21791612361.55302</v>
      </c>
    </row>
    <row r="37" spans="1:2" x14ac:dyDescent="0.25">
      <c r="A37" s="15" t="s">
        <v>44</v>
      </c>
      <c r="B37" s="17">
        <f>B36/B15</f>
        <v>121.13180856894397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493.91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121.13180856894397</v>
      </c>
    </row>
    <row r="43" spans="1:2" x14ac:dyDescent="0.25">
      <c r="A43" s="15" t="s">
        <v>48</v>
      </c>
      <c r="B43" s="21">
        <f>B42/B40-1</f>
        <v>-0.7547492284648135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2459000000</v>
      </c>
      <c r="C5" s="9">
        <v>2058000000</v>
      </c>
      <c r="D5" s="9">
        <v>1607000000</v>
      </c>
      <c r="E5" s="9">
        <v>1374000000</v>
      </c>
      <c r="F5" s="6" t="s">
        <v>57</v>
      </c>
    </row>
    <row r="6" spans="1:6" x14ac:dyDescent="0.25">
      <c r="A6" t="s">
        <v>37</v>
      </c>
      <c r="B6" s="9">
        <v>4054000000</v>
      </c>
      <c r="C6" s="9">
        <v>3565000000</v>
      </c>
      <c r="D6" s="9">
        <v>3318000000</v>
      </c>
      <c r="E6" s="9">
        <v>2519000000</v>
      </c>
      <c r="F6" s="6" t="s">
        <v>58</v>
      </c>
    </row>
    <row r="7" spans="1:6" x14ac:dyDescent="0.25">
      <c r="A7" t="s">
        <v>59</v>
      </c>
      <c r="B7" s="9">
        <v>701000000</v>
      </c>
      <c r="C7" s="9">
        <v>620000000</v>
      </c>
      <c r="D7" s="9">
        <v>564000000</v>
      </c>
      <c r="E7" s="9">
        <v>515000000</v>
      </c>
      <c r="F7" s="6" t="s">
        <v>60</v>
      </c>
    </row>
    <row r="8" spans="1:6" x14ac:dyDescent="0.25">
      <c r="A8" t="s">
        <v>14</v>
      </c>
      <c r="B8" s="10">
        <v>179900000</v>
      </c>
      <c r="C8" s="10">
        <v>182700000</v>
      </c>
      <c r="D8" s="10">
        <v>184000000</v>
      </c>
      <c r="E8" s="10">
        <v>184700000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0.6897615708274895</v>
      </c>
      <c r="C9" s="8">
        <f>IF(AND(ISNUMBER(C5),N(D6)&gt;0),C5/D6,"")</f>
        <v>0.620253164556962</v>
      </c>
      <c r="D9" s="8">
        <f>IF(AND(ISNUMBER(D5),N(E6)&gt;0),D5/E6,"")</f>
        <v>0.6379515680825725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0.28507523383489225</v>
      </c>
      <c r="C10" s="8">
        <f>IF(AND(ISNUMBER(C9),N(C5)&gt;0,ISNUMBER(C7)),C7/C5,"")</f>
        <v>0.3012633624878523</v>
      </c>
      <c r="D10" s="8">
        <f>IF(AND(ISNUMBER(D9),N(D5)&gt;0,ISNUMBER(D7)),D7/D5,"")</f>
        <v>0.3509645301804605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