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<sst xmlns="http://schemas.openxmlformats.org/spreadsheetml/2006/main" count="114" uniqueCount="102">
  <si>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Mercury NZ Limited (MCY.AX)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</si>
  <si>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</si>
  <si>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</si>
  <si>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</si>
  <si>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</si>
  <si>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</si>
  <si>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</si>
  <si>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</si>
  <si>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</si>
  <si>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</si>
  <si>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</si>
  <si>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</si>
  <si>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</si>
  <si>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</si>
  <si>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</si>
  <si>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</si>
  <si>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</si>
  <si>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</si>
  <si>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</si>
  <si>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</si>
  <si>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</si>
  <si>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</si>
  <si>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</si>
  <si>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</si>
  <si>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</si>
  <si>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</si>
  <si>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</si>
  <si>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</si>
  <si>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</si>
  <si>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</si>
  <si>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</si>
  <si>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</si>
  <si>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</si>
  <si>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</si>
  <si>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</si>
  <si>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</si>
  <si>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</si>
  <si>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</si>
  <si>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</si>
  <si>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</si>
  <si>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</si>
  <si>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</si>
  <si>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</si>
  <si>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</si>
  <si>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</si>
  <si>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</si>
  <si>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</si>
  <si>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</si>
  <si>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</si>
  <si>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</si>
  <si>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</si>
  <si>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</si>
  <si>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</si>
  <si>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</si>
  <si>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</si>
  <si>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</si>
  <si>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</si>
  <si>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</si>
  <si>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</si>
  <si>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</si>
  <si>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</si>
  <si>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</si>
  <si>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</si>
  <si>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</si>
  <si>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</si>
  <si>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</si>
  <si>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</si>
  <si>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</si>
  <si>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</si>
  <si>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</si>
  <si>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</si>
  <si>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</si>
  <si>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</si>
  <si>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</si>
  <si>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</si>
  <si>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</si>
  <si>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</si>
  <si>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</si>
  <si>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</si>
  <si>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</si>
  <si>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</si>
  <si>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</si>
  <si>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</si>
  <si>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</si>
  <si>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</si>
  <si>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</si>
  <si>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</si>
  <si>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</si>
  <si>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</si>
  <si>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</si>
  <si>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</si>
  <si>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</si>
  <si>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</si>
  <si>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</si>
  <si>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</si>
  <si>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</si>
  <si>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</si>
  <si>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</si>
  <si>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</si>
  <si>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</si>
  <si>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Adjusted: Capital expenditure runs at 14.0% of revenue against depreciation of 11.2%.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</si>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</sst>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0.05700602307911207</v>
      </c>
    </row>
    <row r="7" spans="1:2" x14ac:dyDescent="0.25">
      <c r="A7" t="s">
        <v>5</v>
      </c>
      <c r="B7" s="6">
        <v>0.14157994003131694</v>
      </c>
    </row>
    <row r="8" spans="1:2" x14ac:dyDescent="0.25">
      <c r="A8" t="s">
        <v>6</v>
      </c>
      <c r="B8" s="6">
        <v>0.27583745717548536</v>
      </c>
    </row>
    <row r="9" spans="1:2" x14ac:dyDescent="0.25">
      <c r="A9" t="s">
        <v>7</v>
      </c>
      <c r="B9" s="6">
        <v>0.11160539946243364</v>
      </c>
    </row>
    <row r="10" spans="1:2" x14ac:dyDescent="0.25">
      <c r="A10" t="s">
        <v>8</v>
      </c>
      <c r="B10" s="6">
        <v>0.13989632834259697</v>
      </c>
    </row>
    <row r="11" spans="1:2" x14ac:dyDescent="0.25">
      <c r="A11" t="s">
        <v>9</v>
      </c>
      <c r="B11" s="6">
        <v>-0.10218978102189781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9.7237386316776</v>
      </c>
    </row>
    <row r="14" spans="1:3" x14ac:dyDescent="0.25">
      <c r="A14" t="s">
        <v>12</v>
      </c>
      <c r="B14" s="6">
        <v>0.07551310723014905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0.55713</v>
      </c>
      <c r="C19" s="8" t="s">
        <v>19</v>
      </c>
    </row>
    <row r="20" spans="1:2" x14ac:dyDescent="0.25">
      <c r="A20" t="s">
        <v>20</v>
      </c>
      <c r="B20" s="10">
        <f>B17+B19*B18</f>
        <v>0.08690780000000001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7980229120</v>
      </c>
    </row>
    <row r="23" spans="1:2" x14ac:dyDescent="0.25">
      <c r="A23" t="s">
        <v>24</v>
      </c>
      <c r="B23" s="11">
        <v>2472000000</v>
      </c>
    </row>
    <row r="24" spans="1:2" x14ac:dyDescent="0.25">
      <c r="A24" t="s">
        <v>25</v>
      </c>
      <c r="B24" s="10">
        <f>B22/(B22+B23)</f>
        <v>0.7634954255576059</v>
      </c>
    </row>
    <row r="25" spans="1:2" x14ac:dyDescent="0.25">
      <c r="A25" t="s">
        <v>26</v>
      </c>
      <c r="B25" s="10">
        <f>1-B24</f>
        <v>0.23650457444239414</v>
      </c>
    </row>
    <row r="26" spans="1:2" x14ac:dyDescent="0.25">
      <c r="A26" t="s">
        <v>27</v>
      </c>
      <c r="B26" s="12">
        <f>B24*B20+B25*B21*(1-B8)</f>
        <v>0.07551310723014905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3224000000</v>
      </c>
      <c r="C29" s="8" t="s">
        <v>30</v>
      </c>
    </row>
    <row r="30" spans="1:2" x14ac:dyDescent="0.25">
      <c r="A30" t="s">
        <v>31</v>
      </c>
      <c r="B30" s="11">
        <v>2395000000</v>
      </c>
    </row>
    <row r="31" spans="1:2" x14ac:dyDescent="0.25">
      <c r="A31" t="s">
        <v>32</v>
      </c>
      <c r="B31" s="13">
        <v>1417000000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0.05700602307911207</v>
      </c>
      <c r="C5" s="10">
        <f>Assumptions!B6</f>
        <v>0.05700602307911207</v>
      </c>
      <c r="D5" s="10">
        <f>Assumptions!B6</f>
        <v>0.05700602307911207</v>
      </c>
      <c r="E5" s="10">
        <f>Assumptions!B6</f>
        <v>0.05700602307911207</v>
      </c>
      <c r="F5" s="10">
        <f>Assumptions!B6</f>
        <v>0.05700602307911207</v>
      </c>
    </row>
    <row r="6" spans="1:6" x14ac:dyDescent="0.25">
      <c r="A6" t="s">
        <v>43</v>
      </c>
      <c r="B6" s="18">
        <f>Assumptions!B29*(1+B5)</f>
        <v>3407787418.4070573</v>
      </c>
      <c r="C6" s="18">
        <f>B6*(1+C5)</f>
        <v>3602051826.6294775</v>
      </c>
      <c r="D6" s="18">
        <f>C6*(1+D5)</f>
        <v>3807390476.1904755</v>
      </c>
      <c r="E6" s="18">
        <f>D6*(1+E5)</f>
        <v>4024434665.5473814</v>
      </c>
      <c r="F6" s="18">
        <f>E6*(1+F5)</f>
        <v>4253851680.971954</v>
      </c>
    </row>
    <row r="7" spans="1:6" x14ac:dyDescent="0.25">
      <c r="A7" t="s">
        <v>5</v>
      </c>
      <c r="B7" s="10">
        <f>Assumptions!B7</f>
        <v>0.14157994003131694</v>
      </c>
      <c r="C7" s="10">
        <f>Assumptions!B7</f>
        <v>0.14157994003131694</v>
      </c>
      <c r="D7" s="10">
        <f>Assumptions!B7</f>
        <v>0.14157994003131694</v>
      </c>
      <c r="E7" s="10">
        <f>Assumptions!B7</f>
        <v>0.14157994003131694</v>
      </c>
      <c r="F7" s="10">
        <f>Assumptions!B7</f>
        <v>0.14157994003131694</v>
      </c>
    </row>
    <row r="8" spans="1:6" x14ac:dyDescent="0.25">
      <c r="A8" t="s">
        <v>44</v>
      </c>
      <c r="B8" s="18">
        <f>B6*B7</f>
        <v>482474338.33754754</v>
      </c>
      <c r="C8" s="18">
        <f>C6*C7</f>
        <v>509978281.60389704</v>
      </c>
      <c r="D8" s="18">
        <f>D6*D7</f>
        <v>539050115.2948548</v>
      </c>
      <c r="E8" s="18">
        <f>E6*E7</f>
        <v>569779218.6081513</v>
      </c>
      <c r="F8" s="18">
        <f>F6*F7</f>
        <v>602260065.8941259</v>
      </c>
    </row>
    <row r="9" spans="1:6" x14ac:dyDescent="0.25">
      <c r="A9" t="s">
        <v>45</v>
      </c>
      <c r="B9" s="18">
        <f>B8*(1-Assumptions!B8)</f>
        <v>349389843.69809365</v>
      </c>
      <c r="C9" s="18">
        <f>C8*(1-Assumptions!B8)</f>
        <v>369307169.1915545</v>
      </c>
      <c r="D9" s="18">
        <f>D8*(1-Assumptions!B8)</f>
        <v>390359902.2017698</v>
      </c>
      <c r="E9" s="18">
        <f>E8*(1-Assumptions!B8)</f>
        <v>412612767.79584384</v>
      </c>
      <c r="F9" s="18">
        <f>F8*(1-Assumptions!B8)</f>
        <v>436134180.75955</v>
      </c>
    </row>
    <row r="10" spans="1:6" x14ac:dyDescent="0.25">
      <c r="A10" t="s">
        <v>46</v>
      </c>
      <c r="B10" s="18">
        <f>B6*Assumptions!B9</f>
        <v>380327476.1143751</v>
      </c>
      <c r="C10" s="18">
        <f>C6*Assumptions!B9</f>
        <v>402008432.9953716</v>
      </c>
      <c r="D10" s="18">
        <f>D6*Assumptions!B9</f>
        <v>424925335.00470346</v>
      </c>
      <c r="E10" s="18">
        <f>E6*Assumptions!B9</f>
        <v>449148638.458881</v>
      </c>
      <c r="F10" s="18">
        <f>F6*Assumptions!B9</f>
        <v>474752816.1088197</v>
      </c>
    </row>
    <row r="11" spans="1:6" x14ac:dyDescent="0.25">
      <c r="A11" t="s">
        <v>47</v>
      </c>
      <c r="B11" s="18">
        <f>-B6*Assumptions!B10</f>
        <v>-476736947.60724455</v>
      </c>
      <c r="C11" s="18">
        <f>-C6*Assumptions!B10</f>
        <v>-503913825.0452085</v>
      </c>
      <c r="D11" s="18">
        <f>-D6*Assumptions!B10</f>
        <v>-532639948.18561935</v>
      </c>
      <c r="E11" s="18">
        <f>-E6*Assumptions!B10</f>
        <v>-563003633.3647459</v>
      </c>
      <c r="F11" s="18">
        <f>-F6*Assumptions!B10</f>
        <v>-595098231.4819605</v>
      </c>
    </row>
    <row r="12" spans="1:6" x14ac:dyDescent="0.25">
      <c r="A12" t="s">
        <v>48</v>
      </c>
      <c r="B12" s="18">
        <f>-(B6-Assumptions!B29)*Assumptions!B11</f>
        <v>18781196.041597094</v>
      </c>
      <c r="C12" s="18">
        <f>-(C6-B6)*Assumptions!B11</f>
        <v>19851837.336597685</v>
      </c>
      <c r="D12" s="18">
        <f>-(D6-C6)*Assumptions!B11</f>
        <v>20983511.633970596</v>
      </c>
      <c r="E12" s="18">
        <f>-(E6-D6)*Assumptions!B11</f>
        <v>22179698.18245754</v>
      </c>
      <c r="F12" s="18">
        <f>-(F6-E6)*Assumptions!B11</f>
        <v>23444074.568934415</v>
      </c>
    </row>
    <row r="13" spans="1:6" x14ac:dyDescent="0.25">
      <c r="A13" s="19" t="s">
        <v>49</v>
      </c>
      <c r="B13" s="20">
        <f>B9+B10+B11+B12</f>
        <v>271761568.2468213</v>
      </c>
      <c r="C13" s="20">
        <f>C9+C10+C11+C12</f>
        <v>287253614.4783153</v>
      </c>
      <c r="D13" s="20">
        <f>D9+D10+D11+D12</f>
        <v>303628800.6548246</v>
      </c>
      <c r="E13" s="20">
        <f>E9+E10+E11+E12</f>
        <v>320937471.0724366</v>
      </c>
      <c r="F13" s="20">
        <f>F9+F10+F11+F12</f>
        <v>339232839.9553436</v>
      </c>
    </row>
    <row r="14" spans="1:6" x14ac:dyDescent="0.25">
      <c r="A14" t="s">
        <v>50</v>
      </c>
      <c r="B14" s="21">
        <f>1/(1+Assumptions!$B$26)^(1-0.5*Assumptions!$B$32)</f>
        <v>0.964255547843957</v>
      </c>
      <c r="C14" s="21">
        <f>1/(1+Assumptions!$B$26)^(2-0.5*Assumptions!$B$32)</f>
        <v>0.8965539716454761</v>
      </c>
      <c r="D14" s="21">
        <f>1/(1+Assumptions!$B$26)^(3-0.5*Assumptions!$B$32)</f>
        <v>0.833605806957053</v>
      </c>
      <c r="E14" s="21">
        <f>1/(1+Assumptions!$B$26)^(4-0.5*Assumptions!$B$32)</f>
        <v>0.7750773108696942</v>
      </c>
      <c r="F14" s="21">
        <f>1/(1+Assumptions!$B$26)^(5-0.5*Assumptions!$B$32)</f>
        <v>0.7206581729773707</v>
      </c>
    </row>
    <row r="15" spans="1:6" x14ac:dyDescent="0.25">
      <c r="A15" s="19" t="s">
        <v>51</v>
      </c>
      <c r="B15" s="20">
        <f>B13*B14</f>
        <v>262047599.87277156</v>
      </c>
      <c r="C15" s="20">
        <f>C13*C14</f>
        <v>257538368.930052</v>
      </c>
      <c r="D15" s="20">
        <f>D13*D14</f>
        <v>253106731.38526726</v>
      </c>
      <c r="E15" s="20">
        <f>E13*E14</f>
        <v>248751352.0361444</v>
      </c>
      <c r="F15" s="20">
        <f>F13*F14</f>
        <v>244470918.6561427</v>
      </c>
    </row>
    <row r="17" spans="1:2" x14ac:dyDescent="0.25">
      <c r="A17" s="22" t="s">
        <v>52</v>
      </c>
      <c r="B17" s="23">
        <f>SUM(B15:F15)</f>
        <v>1265914970.8803778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339232839.9553436</v>
      </c>
    </row>
    <row r="5" spans="1:2" x14ac:dyDescent="0.25">
      <c r="A5" t="s">
        <v>56</v>
      </c>
      <c r="B5" s="18">
        <f>IF(Assumptions!$B$33=0,B4,B4-Forecast!F11-Forecast!F10-Forecast!F12)</f>
        <v>436134180.75955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0.33106835246237365</v>
      </c>
    </row>
    <row r="7" spans="1:2" x14ac:dyDescent="0.25">
      <c r="A7" t="s">
        <v>58</v>
      </c>
      <c r="B7" s="18">
        <f>-MAX(Forecast!F9,0)*B6</f>
        <v>-144390224.67659128</v>
      </c>
    </row>
    <row r="8" spans="1:2" x14ac:dyDescent="0.25">
      <c r="A8" t="s">
        <v>59</v>
      </c>
      <c r="B8" s="18">
        <f>IF(OR(Assumptions!$B$33=0,Assumptions!B12&lt;=0),B5,MAX(B5+B7,0))</f>
        <v>291743956.0829587</v>
      </c>
    </row>
    <row r="9" spans="1:2" x14ac:dyDescent="0.25">
      <c r="A9" t="s">
        <v>60</v>
      </c>
      <c r="B9" s="18">
        <f>B8*(1+Assumptions!B12)/(Assumptions!B26-Assumptions!B12)</f>
        <v>5919999211.740241</v>
      </c>
    </row>
    <row r="10" spans="1:2" x14ac:dyDescent="0.25">
      <c r="A10" t="s">
        <v>61</v>
      </c>
      <c r="B10" s="18">
        <f>B9/(1+Assumptions!B26)^(5-0.5*Assumptions!B32)</f>
        <v>4266295815.9601965</v>
      </c>
    </row>
    <row r="11" spans="1:2" x14ac:dyDescent="0.25">
      <c r="A11" t="s">
        <v>62</v>
      </c>
      <c r="B11" s="18">
        <f>Forecast!B17+B10</f>
        <v>5532210786.840574</v>
      </c>
    </row>
    <row r="12" spans="1:2" x14ac:dyDescent="0.25">
      <c r="A12" t="s">
        <v>63</v>
      </c>
      <c r="B12" s="18">
        <f>-Assumptions!B30</f>
        <v>-2395000000</v>
      </c>
    </row>
    <row r="13" spans="1:2" x14ac:dyDescent="0.25">
      <c r="A13" t="s">
        <v>64</v>
      </c>
      <c r="B13" s="18">
        <f>B11+B12</f>
        <v>3137210786.8405743</v>
      </c>
    </row>
    <row r="14" spans="1:2" x14ac:dyDescent="0.25">
      <c r="A14" s="19" t="s">
        <v>65</v>
      </c>
      <c r="B14" s="24">
        <f>B13/Assumptions!B31</f>
        <v>2.213980795229763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1077012882.0029457</v>
      </c>
    </row>
    <row r="18" spans="1:2" x14ac:dyDescent="0.25">
      <c r="A18" t="s">
        <v>60</v>
      </c>
      <c r="B18" s="18">
        <f>B17*Assumptions!B13</f>
        <v>10472591767.54647</v>
      </c>
    </row>
    <row r="19" spans="1:2" x14ac:dyDescent="0.25">
      <c r="A19" t="s">
        <v>61</v>
      </c>
      <c r="B19" s="18">
        <f>B18/(1+Assumptions!B26)^(5-0.5*Assumptions!B32)</f>
        <v>7547158849.537892</v>
      </c>
    </row>
    <row r="20" spans="1:2" x14ac:dyDescent="0.25">
      <c r="A20" t="s">
        <v>62</v>
      </c>
      <c r="B20" s="18">
        <f>Forecast!B17+B19</f>
        <v>8813073820.41827</v>
      </c>
    </row>
    <row r="21" spans="1:2" x14ac:dyDescent="0.25">
      <c r="A21" t="s">
        <v>63</v>
      </c>
      <c r="B21" s="18">
        <f>-Assumptions!B30</f>
        <v>-2395000000</v>
      </c>
    </row>
    <row r="22" spans="1:2" x14ac:dyDescent="0.25">
      <c r="A22" t="s">
        <v>64</v>
      </c>
      <c r="B22" s="18">
        <f>B20+B21</f>
        <v>6418073820.41827</v>
      </c>
    </row>
    <row r="23" spans="1:2" x14ac:dyDescent="0.25">
      <c r="A23" s="19" t="s">
        <v>65</v>
      </c>
      <c r="B23" s="25">
        <f>B22/Assumptions!B31</f>
        <v>4.52933932280753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5.6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1.7784907728080688</v>
      </c>
    </row>
    <row r="29" spans="1:2" x14ac:dyDescent="0.25">
      <c r="A29" s="19" t="s">
        <v>73</v>
      </c>
      <c r="B29" s="12">
        <f>B28/B26-1</f>
        <v>-0.6824123619985591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0.055513</v>
      </c>
      <c r="B5" s="31">
        <v>3.6588449893082178</v>
      </c>
      <c r="C5" s="31">
        <v>3.6805839832370424</v>
      </c>
      <c r="D5" s="31">
        <v>3.7023229771658657</v>
      </c>
      <c r="E5" s="31">
        <v>3.724061971094689</v>
      </c>
      <c r="F5" s="31">
        <v>3.745800965023512</v>
      </c>
    </row>
    <row r="6" spans="1:6" x14ac:dyDescent="0.25">
      <c r="A6" s="30">
        <v>0.065513</v>
      </c>
      <c r="B6" s="31">
        <v>2.808131919681183</v>
      </c>
      <c r="C6" s="31">
        <v>2.825787353932124</v>
      </c>
      <c r="D6" s="31">
        <v>2.8434427881830655</v>
      </c>
      <c r="E6" s="31">
        <v>2.861098222434006</v>
      </c>
      <c r="F6" s="31">
        <v>2.878753656684947</v>
      </c>
    </row>
    <row r="7" spans="1:6" x14ac:dyDescent="0.25">
      <c r="A7" s="30">
        <v>0.075513</v>
      </c>
      <c r="B7" s="31">
        <v>2.1846129811919557</v>
      </c>
      <c r="C7" s="31">
        <v>2.1992998111084727</v>
      </c>
      <c r="D7" s="32">
        <v>2.213986641024988</v>
      </c>
      <c r="E7" s="31">
        <v>2.2286734709415046</v>
      </c>
      <c r="F7" s="31">
        <v>2.2433603008580203</v>
      </c>
    </row>
    <row r="8" spans="1:6" x14ac:dyDescent="0.25">
      <c r="A8" s="30">
        <v>0.085513</v>
      </c>
      <c r="B8" s="31">
        <v>1.7084875542851894</v>
      </c>
      <c r="C8" s="31">
        <v>1.7209278443256593</v>
      </c>
      <c r="D8" s="31">
        <v>1.7333681343661282</v>
      </c>
      <c r="E8" s="31">
        <v>1.7458084244065981</v>
      </c>
      <c r="F8" s="31">
        <v>1.758248714447066</v>
      </c>
    </row>
    <row r="9" spans="1:6" x14ac:dyDescent="0.25">
      <c r="A9" s="30">
        <v>0.095513</v>
      </c>
      <c r="B9" s="31">
        <v>1.333380438796893</v>
      </c>
      <c r="C9" s="31">
        <v>1.3440680065924806</v>
      </c>
      <c r="D9" s="31">
        <v>1.3547555743880693</v>
      </c>
      <c r="E9" s="31">
        <v>1.3654431421836566</v>
      </c>
      <c r="F9" s="31">
        <v>1.376130709979245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3224000000</v>
      </c>
      <c r="C5" s="18">
        <v>3498000000</v>
      </c>
      <c r="D5" s="18">
        <v>3430000000</v>
      </c>
      <c r="E5" s="18">
        <v>2730000000</v>
      </c>
      <c r="F5" s="8" t="s">
        <v>84</v>
      </c>
    </row>
    <row r="6" spans="1:6" x14ac:dyDescent="0.25">
      <c r="A6" t="s">
        <v>44</v>
      </c>
      <c r="B6" s="18">
        <v>692000000</v>
      </c>
      <c r="C6" s="18">
        <v>224000000</v>
      </c>
      <c r="D6" s="18">
        <v>376000000</v>
      </c>
      <c r="E6" s="18">
        <v>486000000</v>
      </c>
      <c r="F6" s="8" t="s">
        <v>85</v>
      </c>
    </row>
    <row r="7" spans="1:6" x14ac:dyDescent="0.25">
      <c r="A7" t="s">
        <v>86</v>
      </c>
      <c r="B7" s="18">
        <v>375000000</v>
      </c>
      <c r="C7" s="18">
        <v>357000000</v>
      </c>
      <c r="D7" s="18">
        <v>350000000</v>
      </c>
      <c r="E7" s="18">
        <v>344000000</v>
      </c>
      <c r="F7" s="8" t="s">
        <v>87</v>
      </c>
    </row>
    <row r="8" spans="1:6" x14ac:dyDescent="0.25">
      <c r="A8" t="s">
        <v>88</v>
      </c>
      <c r="B8" s="18">
        <v>709000000</v>
      </c>
      <c r="C8" s="18">
        <v>467000000</v>
      </c>
      <c r="D8" s="18">
        <v>334000000</v>
      </c>
      <c r="E8" s="18">
        <v>297000000</v>
      </c>
      <c r="F8" s="8" t="s">
        <v>89</v>
      </c>
    </row>
    <row r="9" spans="1:6" x14ac:dyDescent="0.25">
      <c r="A9" t="s">
        <v>90</v>
      </c>
      <c r="B9" s="18">
        <v>28000000</v>
      </c>
      <c r="C9" s="18">
        <v>-22000000</v>
      </c>
      <c r="D9" s="18">
        <v>59000000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2472000000</v>
      </c>
      <c r="C10" s="18">
        <v>2279000000</v>
      </c>
      <c r="D10" s="18">
        <v>1941000000</v>
      </c>
      <c r="E10" s="18">
        <v>1898000000</v>
      </c>
      <c r="F10" s="8" t="s">
        <v>93</v>
      </c>
    </row>
    <row r="11" spans="1:6" x14ac:dyDescent="0.25">
      <c r="A11" t="s">
        <v>94</v>
      </c>
      <c r="B11" s="18">
        <v>77000000</v>
      </c>
      <c r="C11" s="18">
        <v>86000000</v>
      </c>
      <c r="D11" s="18">
        <v>44000000</v>
      </c>
      <c r="E11" s="18">
        <v>75000000</v>
      </c>
      <c r="F11" s="8" t="s">
        <v>95</v>
      </c>
    </row>
    <row r="12" spans="1:6" x14ac:dyDescent="0.25">
      <c r="A12" t="s">
        <v>32</v>
      </c>
      <c r="B12" s="34">
        <v>1417000000</v>
      </c>
      <c r="C12" s="34">
        <v>1400001969</v>
      </c>
      <c r="D12" s="34">
        <v>1390795153</v>
      </c>
      <c r="E12" s="34">
        <v>1385131962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