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<sst xmlns="http://schemas.openxmlformats.org/spreadsheetml/2006/main" count="120" uniqueCount="107">
  <si>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Mondelez International, Inc. (MDLZ)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</si>
  <si>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</si>
  <si>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</si>
  <si>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</si>
  <si>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</si>
  <si>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</si>
  <si>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</si>
  <si>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</si>
  <si>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</si>
  <si>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</si>
  <si>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</si>
  <si>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</si>
  <si>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</si>
  <si>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</si>
  <si>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</si>
  <si>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</si>
  <si>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</si>
  <si>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</si>
  <si>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</si>
  <si>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</si>
  <si>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</si>
  <si>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</si>
  <si>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</si>
  <si>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</si>
  <si>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6.0x interest cover. Book interest / average debt was lower, at 3.0%.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</si>
  <si>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</si>
  <si>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</si>
  <si>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</si>
  <si>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</si>
  <si>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</si>
  <si>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</si>
  <si>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</si>
  <si>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</si>
  <si>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</si>
  <si>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</si>
  <si>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</si>
  <si>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</si>
  <si>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</si>
  <si>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</si>
  <si>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</si>
  <si>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</si>
  <si>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</si>
  <si>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</si>
  <si>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</si>
  <si>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</si>
  <si>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</si>
  <si>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</si>
  <si>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</si>
  <si>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</si>
  <si>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</si>
  <si>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</si>
  <si>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</si>
  <si>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</si>
  <si>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</si>
  <si>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</si>
  <si>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</si>
  <si>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</si>
  <si>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</si>
  <si>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</si>
  <si>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</si>
  <si>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</si>
  <si>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</si>
  <si>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</si>
  <si>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</si>
  <si>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</si>
  <si>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</si>
  <si>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</si>
  <si>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</si>
  <si>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</si>
  <si>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</si>
  <si>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</si>
  <si>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</si>
  <si>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</si>
  <si>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</si>
  <si>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</si>
  <si>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</si>
  <si>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</si>
  <si>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</si>
  <si>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</si>
  <si>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</si>
  <si>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</si>
  <si>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</si>
  <si>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</si>
  <si>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</si>
  <si>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</si>
  <si>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</si>
  <si>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</si>
  <si>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</si>
  <si>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</si>
  <si>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</si>
  <si>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</si>
  <si>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</si>
  <si>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</si>
  <si>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</si>
  <si>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</si>
  <si>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</si>
  <si>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</si>
  <si>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</si>
  <si>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</si>
  <si>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</si>
  <si>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</si>
  <si>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</si>
  <si>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</si>
  <si>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</si>
  <si>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</si>
  <si>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20.5x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</si>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</sst>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0.03805704362041684</v>
      </c>
    </row>
    <row r="7" spans="1:2" x14ac:dyDescent="0.25">
      <c r="A7" t="s">
        <v>4</v>
      </c>
      <c r="B7" s="5">
        <v>0.13828729829381742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0.03496254372335446</v>
      </c>
    </row>
    <row r="10" spans="1:3" x14ac:dyDescent="0.25">
      <c r="A10" t="s">
        <v>7</v>
      </c>
      <c r="B10" s="5">
        <v>0.03272278291048751</v>
      </c>
      <c r="C10" s="6" t="s">
        <v>8</v>
      </c>
    </row>
    <row r="11" spans="1:2" x14ac:dyDescent="0.25">
      <c r="A11" t="s">
        <v>9</v>
      </c>
      <c r="B11" s="5">
        <v>-0.04092615605048529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0.07682092019431794</v>
      </c>
      <c r="C14" s="6" t="s">
        <v>13</v>
      </c>
    </row>
    <row r="15" spans="1:3" x14ac:dyDescent="0.25">
      <c r="A15" t="s">
        <v>14</v>
      </c>
      <c r="B15" s="5">
        <v>0.03496254372335446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0.59197</v>
      </c>
      <c r="C19" s="6" t="s">
        <v>21</v>
      </c>
    </row>
    <row r="20" spans="1:2" x14ac:dyDescent="0.25">
      <c r="A20" t="s">
        <v>22</v>
      </c>
      <c r="B20" s="9">
        <f>B17+B19*B18</f>
        <v>0.07398033100000001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82203541504</v>
      </c>
    </row>
    <row r="23" spans="1:2" x14ac:dyDescent="0.25">
      <c r="A23" t="s">
        <v>26</v>
      </c>
      <c r="B23" s="10">
        <v>21804000000</v>
      </c>
    </row>
    <row r="24" spans="1:2" x14ac:dyDescent="0.25">
      <c r="A24" t="s">
        <v>27</v>
      </c>
      <c r="B24" s="9">
        <f>B22/(B22+B23)</f>
        <v>0.7903613556795644</v>
      </c>
    </row>
    <row r="25" spans="1:2" x14ac:dyDescent="0.25">
      <c r="A25" t="s">
        <v>28</v>
      </c>
      <c r="B25" s="9">
        <f>1-B24</f>
        <v>0.20963864432043555</v>
      </c>
    </row>
    <row r="26" spans="1:2" x14ac:dyDescent="0.25">
      <c r="A26" t="s">
        <v>29</v>
      </c>
      <c r="B26" s="11">
        <f>B24*B20+B25*B21*(1-B8)</f>
        <v>0.0677356714557782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38537000000</v>
      </c>
      <c r="C29" s="6" t="s">
        <v>32</v>
      </c>
    </row>
    <row r="30" spans="1:2" x14ac:dyDescent="0.25">
      <c r="A30" t="s">
        <v>33</v>
      </c>
      <c r="B30" s="10">
        <v>19679000000</v>
      </c>
    </row>
    <row r="31" spans="1:2" x14ac:dyDescent="0.25">
      <c r="A31" t="s">
        <v>34</v>
      </c>
      <c r="B31" s="12">
        <v>1297948080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0.03805704362041684</v>
      </c>
      <c r="C5" s="5">
        <v>0.023919938640108995</v>
      </c>
      <c r="D5" s="5">
        <v>0.02405494631009537</v>
      </c>
      <c r="E5" s="5">
        <v>0.024189953980081745</v>
      </c>
      <c r="F5" s="5">
        <v>0.024324961650068123</v>
      </c>
      <c r="G5" s="5">
        <v>0.0244599693200545</v>
      </c>
      <c r="H5" s="5">
        <v>0.024594976990040873</v>
      </c>
      <c r="I5" s="5">
        <v>0.02472998466002725</v>
      </c>
      <c r="J5" s="5">
        <v>0.024864992330013626</v>
      </c>
      <c r="K5" s="5">
        <v>0.025</v>
      </c>
    </row>
    <row r="6" spans="1:11" x14ac:dyDescent="0.25">
      <c r="A6" t="s">
        <v>50</v>
      </c>
      <c r="B6" s="18">
        <f>Assumptions!B29*(1+B5)</f>
        <v>40003604290.00001</v>
      </c>
      <c r="C6" s="18">
        <f>B6*(1+C5)</f>
        <v>40960488050.00001</v>
      </c>
      <c r="D6" s="18">
        <f>C6*(1+D5)</f>
        <v>41945790390.87806</v>
      </c>
      <c r="E6" s="18">
        <f>D6*(1+E5)</f>
        <v>42960457130.09156</v>
      </c>
      <c r="F6" s="18">
        <f>E6*(1+F5)</f>
        <v>44005468602.25043</v>
      </c>
      <c r="G6" s="18">
        <f>F6*(1+G5)</f>
        <v>45081841014.176094</v>
      </c>
      <c r="H6" s="18">
        <f>G6*(1+H5)</f>
        <v>46190627856.58843</v>
      </c>
      <c r="I6" s="18">
        <f>H6*(1+I5)</f>
        <v>47332921374.91889</v>
      </c>
      <c r="J6" s="18">
        <f>I6*(1+J5)</f>
        <v>48509854101.863396</v>
      </c>
      <c r="K6" s="18">
        <f>J6*(1+K5)</f>
        <v>49722600454.40997</v>
      </c>
    </row>
    <row r="7" spans="1:11" x14ac:dyDescent="0.25">
      <c r="A7" t="s">
        <v>4</v>
      </c>
      <c r="B7" s="9">
        <f>Assumptions!B7</f>
        <v>0.13828729829381742</v>
      </c>
      <c r="C7" s="9">
        <f>Assumptions!B7</f>
        <v>0.13828729829381742</v>
      </c>
      <c r="D7" s="9">
        <f>Assumptions!B7</f>
        <v>0.13828729829381742</v>
      </c>
      <c r="E7" s="9">
        <f>Assumptions!B7</f>
        <v>0.13828729829381742</v>
      </c>
      <c r="F7" s="9">
        <f>Assumptions!B7</f>
        <v>0.13828729829381742</v>
      </c>
      <c r="G7" s="9">
        <f>Assumptions!B7</f>
        <v>0.13828729829381742</v>
      </c>
      <c r="H7" s="9">
        <f>Assumptions!B7</f>
        <v>0.13828729829381742</v>
      </c>
      <c r="I7" s="9">
        <f>Assumptions!B7</f>
        <v>0.13828729829381742</v>
      </c>
      <c r="J7" s="9">
        <f>Assumptions!B7</f>
        <v>0.13828729829381742</v>
      </c>
      <c r="K7" s="9">
        <f>Assumptions!B7</f>
        <v>0.13828729829381742</v>
      </c>
    </row>
    <row r="8" spans="1:11" x14ac:dyDescent="0.25">
      <c r="A8" t="s">
        <v>51</v>
      </c>
      <c r="B8" s="18">
        <f>B6*B7</f>
        <v>5531990359.279065</v>
      </c>
      <c r="C8" s="18">
        <f>C6*C7</f>
        <v>5664315229.230695</v>
      </c>
      <c r="D8" s="18">
        <f>D6*D7</f>
        <v>5800570027.953295</v>
      </c>
      <c r="E8" s="18">
        <f>E6*E7</f>
        <v>5940885549.987727</v>
      </c>
      <c r="F8" s="18">
        <f>F6*F7</f>
        <v>6085397363.158622</v>
      </c>
      <c r="G8" s="18">
        <f>G6*G7</f>
        <v>6234245995.961822</v>
      </c>
      <c r="H8" s="18">
        <f>H6*H7</f>
        <v>6387577132.782757</v>
      </c>
      <c r="I8" s="18">
        <f>I6*I7</f>
        <v>6545541817.291215</v>
      </c>
      <c r="J8" s="18">
        <f>J6*J7</f>
        <v>6708296664.373946</v>
      </c>
      <c r="K8" s="18">
        <f>K6*K7</f>
        <v>6876004080.983294</v>
      </c>
    </row>
    <row r="9" spans="1:11" x14ac:dyDescent="0.25">
      <c r="A9" t="s">
        <v>52</v>
      </c>
      <c r="B9" s="18">
        <f>B8*(1-Assumptions!B8)</f>
        <v>4370272383.8304615</v>
      </c>
      <c r="C9" s="18">
        <f>C8*(1-Assumptions!B8)</f>
        <v>4474809031.092249</v>
      </c>
      <c r="D9" s="18">
        <f>D8*(1-Assumptions!B8)</f>
        <v>4582450322.083103</v>
      </c>
      <c r="E9" s="18">
        <f>E8*(1-Assumptions!B8)</f>
        <v>4693299584.490305</v>
      </c>
      <c r="F9" s="18">
        <f>F8*(1-Assumptions!B8)</f>
        <v>4807463916.895311</v>
      </c>
      <c r="G9" s="18">
        <f>G8*(1-Assumptions!B8)</f>
        <v>4925054336.809839</v>
      </c>
      <c r="H9" s="18">
        <f>H8*(1-Assumptions!B8)</f>
        <v>5046185934.898378</v>
      </c>
      <c r="I9" s="18">
        <f>I8*(1-Assumptions!B8)</f>
        <v>5170978035.66006</v>
      </c>
      <c r="J9" s="18">
        <f>J8*(1-Assumptions!B8)</f>
        <v>5299554364.855417</v>
      </c>
      <c r="K9" s="18">
        <f>K8*(1-Assumptions!B8)</f>
        <v>5432043223.976802</v>
      </c>
    </row>
    <row r="10" spans="1:11" x14ac:dyDescent="0.25">
      <c r="A10" t="s">
        <v>53</v>
      </c>
      <c r="B10" s="18">
        <f>B6*Assumptions!B9</f>
        <v>1398627764.0808952</v>
      </c>
      <c r="C10" s="18">
        <f>C6*Assumptions!B9</f>
        <v>1432082854.378063</v>
      </c>
      <c r="D10" s="18">
        <f>D6*Assumptions!B9</f>
        <v>1466531530.5517354</v>
      </c>
      <c r="E10" s="18">
        <f>E6*Assumptions!B9</f>
        <v>1502006860.786121</v>
      </c>
      <c r="F10" s="18">
        <f>F6*Assumptions!B9</f>
        <v>1538543120.0728824</v>
      </c>
      <c r="G10" s="18">
        <f>G6*Assumptions!B9</f>
        <v>1576175837.587446</v>
      </c>
      <c r="H10" s="18">
        <f>H6*Assumptions!B9</f>
        <v>1614941846.0451674</v>
      </c>
      <c r="I10" s="18">
        <f>I6*Assumptions!B9</f>
        <v>1654879333.1247005</v>
      </c>
      <c r="J10" s="18">
        <f>J6*Assumptions!B9</f>
        <v>1696027895.0499446</v>
      </c>
      <c r="K10" s="18">
        <f>K6*Assumptions!B9</f>
        <v>1738428592.426193</v>
      </c>
    </row>
    <row r="11" spans="1:11" x14ac:dyDescent="0.25">
      <c r="A11" t="s">
        <v>54</v>
      </c>
      <c r="B11" s="18">
        <f>-B6*B19</f>
        <v>-1309029258.818717</v>
      </c>
      <c r="C11" s="18">
        <f>-C6*C19</f>
        <v>-1512339889.6511545</v>
      </c>
      <c r="D11" s="18">
        <f>-D6*D19</f>
        <v>-1724855296.0291407</v>
      </c>
      <c r="E11" s="18">
        <f>-E6*E19</f>
        <v>-1946976343.1919336</v>
      </c>
      <c r="F11" s="18">
        <f>-F6*F19</f>
        <v>-2179121492.1163177</v>
      </c>
      <c r="G11" s="18">
        <f>-G6*G19</f>
        <v>-2421727597.019694</v>
      </c>
      <c r="H11" s="18">
        <f>-H6*H19</f>
        <v>-2675250740.283396</v>
      </c>
      <c r="I11" s="18">
        <f>-I6*I19</f>
        <v>-2940167106.615945</v>
      </c>
      <c r="J11" s="18">
        <f>-J6*J19</f>
        <v>-3216973898.3675113</v>
      </c>
      <c r="K11" s="18">
        <f>-K6*K19</f>
        <v>-3506190294.003215</v>
      </c>
    </row>
    <row r="12" spans="1:11" x14ac:dyDescent="0.25">
      <c r="A12" t="s">
        <v>55</v>
      </c>
      <c r="B12" s="18">
        <f>-(B6-Assumptions!B29)*Assumptions!B11</f>
        <v>60022476.036851496</v>
      </c>
      <c r="C12" s="18">
        <f>-(C6-B6)*Assumptions!B11</f>
        <v>39161574.08393511</v>
      </c>
      <c r="D12" s="18">
        <f>-(D6-C6)*Assumptions!B11</f>
        <v>40324637.359683596</v>
      </c>
      <c r="E12" s="18">
        <f>-(E6-D6)*Assumptions!B11</f>
        <v>41526409.3082888</v>
      </c>
      <c r="F12" s="18">
        <f>-(F6-E6)*Assumptions!B11</f>
        <v>42768302.584121145</v>
      </c>
      <c r="G12" s="18">
        <f>-(G6-F6)*Assumptions!B11</f>
        <v>44051785.29890707</v>
      </c>
      <c r="H12" s="18">
        <f>-(H6-G6)*Assumptions!B11</f>
        <v>45378383.33929219</v>
      </c>
      <c r="I12" s="18">
        <f>-(I6-H6)*Assumptions!B11</f>
        <v>46749682.78665026</v>
      </c>
      <c r="J12" s="18">
        <f>-(J6-I6)*Assumptions!B11</f>
        <v>48167332.44385395</v>
      </c>
      <c r="K12" s="18">
        <f>-(K6-J6)*Assumptions!B11</f>
        <v>49633046.47397807</v>
      </c>
    </row>
    <row r="13" spans="1:11" x14ac:dyDescent="0.25">
      <c r="A13" s="19" t="s">
        <v>56</v>
      </c>
      <c r="B13" s="20">
        <f>B9+B10+B11+B12</f>
        <v>4519893365.129492</v>
      </c>
      <c r="C13" s="20">
        <f>C9+C10+C11+C12</f>
        <v>4433713569.903092</v>
      </c>
      <c r="D13" s="20">
        <f>D9+D10+D11+D12</f>
        <v>4364451193.965382</v>
      </c>
      <c r="E13" s="20">
        <f>E9+E10+E11+E12</f>
        <v>4289856511.3927813</v>
      </c>
      <c r="F13" s="20">
        <f>F9+F10+F11+F12</f>
        <v>4209653847.4359975</v>
      </c>
      <c r="G13" s="20">
        <f>G9+G10+G11+G12</f>
        <v>4123554362.676499</v>
      </c>
      <c r="H13" s="20">
        <f>H9+H10+H11+H12</f>
        <v>4031255423.9994426</v>
      </c>
      <c r="I13" s="20">
        <f>I9+I10+I11+I12</f>
        <v>3932439944.955466</v>
      </c>
      <c r="J13" s="20">
        <f>J9+J10+J11+J12</f>
        <v>3826775693.9817047</v>
      </c>
      <c r="K13" s="20">
        <f>K9+K10+K11+K12</f>
        <v>3713914568.8737583</v>
      </c>
    </row>
    <row r="14" spans="1:11" x14ac:dyDescent="0.25">
      <c r="A14" t="s">
        <v>57</v>
      </c>
      <c r="B14" s="21">
        <f>1/(1+Assumptions!$B$26)^(1-0.5*Assumptions!$B$32)</f>
        <v>0.9677610168225014</v>
      </c>
      <c r="C14" s="21">
        <f>1/(1+Assumptions!$B$26)^(2-0.5*Assumptions!$B$32)</f>
        <v>0.9063675989236467</v>
      </c>
      <c r="D14" s="21">
        <f>1/(1+Assumptions!$B$26)^(3-0.5*Assumptions!$B$32)</f>
        <v>0.8488688943845829</v>
      </c>
      <c r="E14" s="21">
        <f>1/(1+Assumptions!$B$26)^(4-0.5*Assumptions!$B$32)</f>
        <v>0.7950178279865965</v>
      </c>
      <c r="F14" s="21">
        <f>1/(1+Assumptions!$B$26)^(5-0.5*Assumptions!$B$32)</f>
        <v>0.7445829986204814</v>
      </c>
      <c r="G14" s="21">
        <f>1/(1+Assumptions!$B$26)^(6-0.5*Assumptions!$B$32)</f>
        <v>0.6973476849427516</v>
      </c>
      <c r="H14" s="21">
        <f>1/(1+Assumptions!$B$26)^(7-0.5*Assumptions!$B$32)</f>
        <v>0.6531089141116451</v>
      </c>
      <c r="I14" s="21">
        <f>1/(1+Assumptions!$B$26)^(8-0.5*Assumptions!$B$32)</f>
        <v>0.6116765896012256</v>
      </c>
      <c r="J14" s="21">
        <f>1/(1+Assumptions!$B$26)^(9-0.5*Assumptions!$B$32)</f>
        <v>0.572872674345749</v>
      </c>
      <c r="K14" s="21">
        <f>1/(1+Assumptions!$B$26)^(10-0.5*Assumptions!$B$32)</f>
        <v>0.5365304257042192</v>
      </c>
    </row>
    <row r="15" spans="1:11" x14ac:dyDescent="0.25">
      <c r="A15" s="19" t="s">
        <v>58</v>
      </c>
      <c r="B15" s="20">
        <f>B13*B14</f>
        <v>4374176598.966994</v>
      </c>
      <c r="C15" s="20">
        <f>C13*C14</f>
        <v>4018574322.668256</v>
      </c>
      <c r="D15" s="20">
        <f>D13*D14</f>
        <v>3704846859.616866</v>
      </c>
      <c r="E15" s="20">
        <f>E13*E14</f>
        <v>3410512406.061647</v>
      </c>
      <c r="F15" s="20">
        <f>F13*F14</f>
        <v>3134436684.8781414</v>
      </c>
      <c r="G15" s="20">
        <f>G13*G14</f>
        <v>2875551088.54804</v>
      </c>
      <c r="H15" s="20">
        <f>H13*H14</f>
        <v>2632848852.474955</v>
      </c>
      <c r="I15" s="20">
        <f>I13*I14</f>
        <v>2405381454.3419905</v>
      </c>
      <c r="J15" s="20">
        <f>J13*J14</f>
        <v>2192255225.9326086</v>
      </c>
      <c r="K15" s="20">
        <f>K13*K14</f>
        <v>1992628164.666939</v>
      </c>
    </row>
    <row r="17" spans="1:2" x14ac:dyDescent="0.25">
      <c r="A17" s="22" t="s">
        <v>59</v>
      </c>
      <c r="B17" s="23">
        <f>SUM(B15:K15)</f>
        <v>30741211658.15644</v>
      </c>
    </row>
    <row r="19" spans="1:11" x14ac:dyDescent="0.25">
      <c r="A19" t="s">
        <v>7</v>
      </c>
      <c r="B19" s="9">
        <f>Assumptions!$B$10+($B$20-Assumptions!$B$10)*0/9</f>
        <v>0.03272278291048751</v>
      </c>
      <c r="C19" s="9">
        <f>Assumptions!$B$10+($B$20-Assumptions!$B$10)*1/9</f>
        <v>0.03692192065204541</v>
      </c>
      <c r="D19" s="9">
        <f>Assumptions!$B$10+($B$20-Assumptions!$B$10)*2/9</f>
        <v>0.0411210583936033</v>
      </c>
      <c r="E19" s="9">
        <f>Assumptions!$B$10+($B$20-Assumptions!$B$10)*3/9</f>
        <v>0.045320196135161195</v>
      </c>
      <c r="F19" s="9">
        <f>Assumptions!$B$10+($B$20-Assumptions!$B$10)*4/9</f>
        <v>0.049519333876719085</v>
      </c>
      <c r="G19" s="9">
        <f>Assumptions!$B$10+($B$20-Assumptions!$B$10)*5/9</f>
        <v>0.05371847161827699</v>
      </c>
      <c r="H19" s="9">
        <f>Assumptions!$B$10+($B$20-Assumptions!$B$10)*6/9</f>
        <v>0.05791760935983488</v>
      </c>
      <c r="I19" s="9">
        <f>Assumptions!$B$10+($B$20-Assumptions!$B$10)*7/9</f>
        <v>0.06211674710139277</v>
      </c>
      <c r="J19" s="9">
        <f>Assumptions!$B$10+($B$20-Assumptions!$B$10)*8/9</f>
        <v>0.06631588484295067</v>
      </c>
      <c r="K19" s="9">
        <f>Assumptions!$B$10+($B$20-Assumptions!$B$10)*9/9</f>
        <v>0.07051502258450856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0.07051502258450856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3713914568.8737583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5432043223.976802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0.3254321861383942</v>
      </c>
    </row>
    <row r="7" spans="1:2" x14ac:dyDescent="0.25">
      <c r="A7" t="s">
        <v>66</v>
      </c>
      <c r="B7" s="18">
        <f>-MAX(B5,0)*B6</f>
        <v>-1767761701.5770216</v>
      </c>
    </row>
    <row r="8" spans="1:2" x14ac:dyDescent="0.25">
      <c r="A8" t="s">
        <v>67</v>
      </c>
      <c r="B8" s="18">
        <f>IF(OR(Assumptions!$B$33=0,Assumptions!B12&lt;=0),B5,MAX(B5+B7,0))</f>
        <v>3664281522.3997803</v>
      </c>
    </row>
    <row r="9" spans="1:2" x14ac:dyDescent="0.25">
      <c r="A9" t="s">
        <v>68</v>
      </c>
      <c r="B9" s="18">
        <f>B8*(1+Assumptions!B12)/(Assumptions!B26-Assumptions!B12)</f>
        <v>87886499322.84961</v>
      </c>
    </row>
    <row r="10" spans="1:2" x14ac:dyDescent="0.25">
      <c r="A10" t="s">
        <v>69</v>
      </c>
      <c r="B10" s="18">
        <f>B9/(1+Assumptions!B26)^(10-0.5*Assumptions!B32)</f>
        <v>47153780895.34207</v>
      </c>
    </row>
    <row r="11" spans="1:2" x14ac:dyDescent="0.25">
      <c r="A11" t="s">
        <v>70</v>
      </c>
      <c r="B11" s="18">
        <f>Forecast!B17+B10</f>
        <v>77894992553.4985</v>
      </c>
    </row>
    <row r="12" spans="1:2" x14ac:dyDescent="0.25">
      <c r="A12" t="s">
        <v>71</v>
      </c>
      <c r="B12" s="18">
        <f>-Assumptions!B30</f>
        <v>-19679000000</v>
      </c>
    </row>
    <row r="13" spans="1:2" x14ac:dyDescent="0.25">
      <c r="A13" t="s">
        <v>72</v>
      </c>
      <c r="B13" s="18">
        <f>B11+B12</f>
        <v>58215992553.498505</v>
      </c>
    </row>
    <row r="14" spans="1:2" x14ac:dyDescent="0.25">
      <c r="A14" s="19" t="s">
        <v>73</v>
      </c>
      <c r="B14" s="24">
        <f>B13/Assumptions!B31</f>
        <v>44.852327647419074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8614432673.409487</v>
      </c>
    </row>
    <row r="18" spans="1:2" x14ac:dyDescent="0.25">
      <c r="A18" t="s">
        <v>68</v>
      </c>
      <c r="B18" s="18">
        <f>B17*Assumptions!B13</f>
        <v>172288653468.18973</v>
      </c>
    </row>
    <row r="19" spans="1:2" x14ac:dyDescent="0.25">
      <c r="A19" t="s">
        <v>69</v>
      </c>
      <c r="B19" s="18">
        <f>B18/(1+Assumptions!B26)^(10-0.5*Assumptions!B32)</f>
        <v>92438104589.29453</v>
      </c>
    </row>
    <row r="20" spans="1:2" x14ac:dyDescent="0.25">
      <c r="A20" t="s">
        <v>70</v>
      </c>
      <c r="B20" s="18">
        <f>Forecast!B17+B19</f>
        <v>123179316247.45096</v>
      </c>
    </row>
    <row r="21" spans="1:2" x14ac:dyDescent="0.25">
      <c r="A21" t="s">
        <v>71</v>
      </c>
      <c r="B21" s="18">
        <f>-Assumptions!B30</f>
        <v>-19679000000</v>
      </c>
    </row>
    <row r="22" spans="1:2" x14ac:dyDescent="0.25">
      <c r="A22" t="s">
        <v>72</v>
      </c>
      <c r="B22" s="18">
        <f>B20+B21</f>
        <v>103500316247.45096</v>
      </c>
    </row>
    <row r="23" spans="1:2" x14ac:dyDescent="0.25">
      <c r="A23" s="19" t="s">
        <v>73</v>
      </c>
      <c r="B23" s="25">
        <f>B22/Assumptions!B31</f>
        <v>79.74149185339598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64.94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44.852327647419074</v>
      </c>
    </row>
    <row r="29" spans="1:2" x14ac:dyDescent="0.25">
      <c r="A29" s="19" t="s">
        <v>81</v>
      </c>
      <c r="B29" s="11">
        <f>B28/B26-1</f>
        <v>-0.30932664540469545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0.047736</v>
      </c>
      <c r="B5" s="31">
        <v>79.47291416667599</v>
      </c>
      <c r="C5" s="31">
        <v>84.58910611898041</v>
      </c>
      <c r="D5" s="31">
        <v>92.28720097839638</v>
      </c>
      <c r="E5" s="31">
        <v>104.75081081115493</v>
      </c>
      <c r="F5" s="31">
        <v>127.59258673221663</v>
      </c>
    </row>
    <row r="6" spans="1:6" x14ac:dyDescent="0.25">
      <c r="A6" s="30">
        <v>0.057736</v>
      </c>
      <c r="B6" s="31">
        <v>58.181660265182664</v>
      </c>
      <c r="C6" s="31">
        <v>59.470274799193525</v>
      </c>
      <c r="D6" s="31">
        <v>61.36997833718225</v>
      </c>
      <c r="E6" s="31">
        <v>64.21125599090492</v>
      </c>
      <c r="F6" s="31">
        <v>68.61530813580177</v>
      </c>
    </row>
    <row r="7" spans="1:6" x14ac:dyDescent="0.25">
      <c r="A7" s="30">
        <v>0.067736</v>
      </c>
      <c r="B7" s="31">
        <v>44.93911359002249</v>
      </c>
      <c r="C7" s="31">
        <v>44.829625574683334</v>
      </c>
      <c r="D7" s="32">
        <v>44.851910853476625</v>
      </c>
      <c r="E7" s="31">
        <v>45.05834910130136</v>
      </c>
      <c r="F7" s="31">
        <v>45.533321260712235</v>
      </c>
    </row>
    <row r="8" spans="1:6" x14ac:dyDescent="0.25">
      <c r="A8" s="30">
        <v>0.077736</v>
      </c>
      <c r="B8" s="31">
        <v>36.001724783800526</v>
      </c>
      <c r="C8" s="31">
        <v>35.3730695433011</v>
      </c>
      <c r="D8" s="31">
        <v>34.74441430280167</v>
      </c>
      <c r="E8" s="31">
        <v>34.11575906230225</v>
      </c>
      <c r="F8" s="31">
        <v>33.48710382180281</v>
      </c>
    </row>
    <row r="9" spans="1:6" x14ac:dyDescent="0.25">
      <c r="A9" s="30">
        <v>0.087736</v>
      </c>
      <c r="B9" s="31">
        <v>30.235639205254426</v>
      </c>
      <c r="C9" s="31">
        <v>29.708397992076872</v>
      </c>
      <c r="D9" s="31">
        <v>29.181156778899318</v>
      </c>
      <c r="E9" s="31">
        <v>28.653915565721768</v>
      </c>
      <c r="F9" s="31">
        <v>28.126674352544207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38537000000</v>
      </c>
      <c r="C5" s="18">
        <v>36441000000</v>
      </c>
      <c r="D5" s="18">
        <v>36016000000</v>
      </c>
      <c r="E5" s="18">
        <v>31496000000</v>
      </c>
      <c r="F5" s="6" t="s">
        <v>91</v>
      </c>
    </row>
    <row r="6" spans="1:6" x14ac:dyDescent="0.25">
      <c r="A6" t="s">
        <v>51</v>
      </c>
      <c r="B6" s="18">
        <v>3620000000</v>
      </c>
      <c r="C6" s="18">
        <v>6665000000</v>
      </c>
      <c r="D6" s="18">
        <v>5611000000</v>
      </c>
      <c r="E6" s="18">
        <v>3796000000</v>
      </c>
      <c r="F6" s="6" t="s">
        <v>92</v>
      </c>
    </row>
    <row r="7" spans="1:6" x14ac:dyDescent="0.25">
      <c r="A7" t="s">
        <v>93</v>
      </c>
      <c r="B7" s="18">
        <v>1358000000</v>
      </c>
      <c r="C7" s="18">
        <v>1302000000</v>
      </c>
      <c r="D7" s="18">
        <v>1215000000</v>
      </c>
      <c r="E7" s="18">
        <v>1107000000</v>
      </c>
      <c r="F7" s="6" t="s">
        <v>94</v>
      </c>
    </row>
    <row r="8" spans="1:6" x14ac:dyDescent="0.25">
      <c r="A8" t="s">
        <v>95</v>
      </c>
      <c r="B8" s="18">
        <v>1279000000</v>
      </c>
      <c r="C8" s="18">
        <v>1387000000</v>
      </c>
      <c r="D8" s="18">
        <v>1112000000</v>
      </c>
      <c r="E8" s="18">
        <v>906000000</v>
      </c>
      <c r="F8" s="6" t="s">
        <v>96</v>
      </c>
    </row>
    <row r="9" spans="1:6" x14ac:dyDescent="0.25">
      <c r="A9" t="s">
        <v>97</v>
      </c>
      <c r="B9" s="18">
        <v>974000000</v>
      </c>
      <c r="C9" s="18">
        <v>969000000</v>
      </c>
      <c r="D9" s="18">
        <v>509000000</v>
      </c>
      <c r="E9" s="18">
        <v>513000000</v>
      </c>
      <c r="F9" s="6" t="s">
        <v>98</v>
      </c>
    </row>
    <row r="10" spans="1:6" x14ac:dyDescent="0.25">
      <c r="A10" t="s">
        <v>99</v>
      </c>
      <c r="B10" s="18">
        <v>21804000000</v>
      </c>
      <c r="C10" s="18">
        <v>18372000000</v>
      </c>
      <c r="D10" s="18">
        <v>19945000000</v>
      </c>
      <c r="E10" s="18">
        <v>23447000000</v>
      </c>
      <c r="F10" s="6" t="s">
        <v>100</v>
      </c>
    </row>
    <row r="11" spans="1:6" x14ac:dyDescent="0.25">
      <c r="A11" t="s">
        <v>101</v>
      </c>
      <c r="B11" s="18">
        <v>2125000000</v>
      </c>
      <c r="C11" s="18">
        <v>1351000000</v>
      </c>
      <c r="D11" s="18">
        <v>1810000000</v>
      </c>
      <c r="E11" s="18">
        <v>1923000000</v>
      </c>
      <c r="F11" s="6" t="s">
        <v>102</v>
      </c>
    </row>
    <row r="12" spans="1:6" x14ac:dyDescent="0.25">
      <c r="A12" t="s">
        <v>34</v>
      </c>
      <c r="B12" s="34">
        <v>1297948080</v>
      </c>
      <c r="C12" s="34">
        <v>1346946120</v>
      </c>
      <c r="D12" s="34">
        <v>1369945200</v>
      </c>
      <c r="E12" s="34">
        <v>1384944600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