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<sst xmlns="http://schemas.openxmlformats.org/spreadsheetml/2006/main" count="111" uniqueCount="99">
  <si>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Mondelez International, Inc. (MDLZ)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</si>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</sst>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0.06956578215167708</v>
      </c>
    </row>
    <row r="7" spans="1:2" x14ac:dyDescent="0.25">
      <c r="A7" t="s">
        <v>5</v>
      </c>
      <c r="B7" s="6">
        <v>0.13828729829381742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0.03496254372335446</v>
      </c>
    </row>
    <row r="10" spans="1:2" x14ac:dyDescent="0.25">
      <c r="A10" t="s">
        <v>8</v>
      </c>
      <c r="B10" s="6">
        <v>0.03272278291048751</v>
      </c>
    </row>
    <row r="11" spans="1:2" x14ac:dyDescent="0.25">
      <c r="A11" t="s">
        <v>9</v>
      </c>
      <c r="B11" s="6">
        <v>0.46469465648854963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19.554509177983125</v>
      </c>
    </row>
    <row r="14" spans="1:3" x14ac:dyDescent="0.25">
      <c r="A14" t="s">
        <v>12</v>
      </c>
      <c r="B14" s="6">
        <v>0.07682092019431794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0.59934</v>
      </c>
      <c r="C19" s="8" t="s">
        <v>19</v>
      </c>
    </row>
    <row r="20" spans="1:2" x14ac:dyDescent="0.25">
      <c r="A20" t="s">
        <v>20</v>
      </c>
      <c r="B20" s="10">
        <f>B17+B19*B18</f>
        <v>0.08294370000000001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77663346688</v>
      </c>
    </row>
    <row r="23" spans="1:2" x14ac:dyDescent="0.25">
      <c r="A23" t="s">
        <v>24</v>
      </c>
      <c r="B23" s="11">
        <v>21804000000</v>
      </c>
    </row>
    <row r="24" spans="1:2" x14ac:dyDescent="0.25">
      <c r="A24" t="s">
        <v>25</v>
      </c>
      <c r="B24" s="10">
        <f>B22/(B22+B23)</f>
        <v>0.7807923833698633</v>
      </c>
    </row>
    <row r="25" spans="1:2" x14ac:dyDescent="0.25">
      <c r="A25" t="s">
        <v>26</v>
      </c>
      <c r="B25" s="10">
        <f>1-B24</f>
        <v>0.21920761663013666</v>
      </c>
    </row>
    <row r="26" spans="1:2" x14ac:dyDescent="0.25">
      <c r="A26" t="s">
        <v>27</v>
      </c>
      <c r="B26" s="12">
        <f>B24*B20+B25*B21*(1-B8)</f>
        <v>0.0734170465850626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38537000000</v>
      </c>
      <c r="C29" s="8" t="s">
        <v>30</v>
      </c>
    </row>
    <row r="30" spans="1:2" x14ac:dyDescent="0.25">
      <c r="A30" t="s">
        <v>31</v>
      </c>
      <c r="B30" s="11">
        <v>19679000000</v>
      </c>
    </row>
    <row r="31" spans="1:2" x14ac:dyDescent="0.25">
      <c r="A31" t="s">
        <v>32</v>
      </c>
      <c r="B31" s="13">
        <v>1297948080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0.06956578215167708</v>
      </c>
      <c r="C5" s="10">
        <f>Assumptions!B6</f>
        <v>0.06956578215167708</v>
      </c>
      <c r="D5" s="10">
        <f>Assumptions!B6</f>
        <v>0.06956578215167708</v>
      </c>
      <c r="E5" s="10">
        <f>Assumptions!B6</f>
        <v>0.06956578215167708</v>
      </c>
      <c r="F5" s="10">
        <f>Assumptions!B6</f>
        <v>0.06956578215167708</v>
      </c>
    </row>
    <row r="6" spans="1:6" x14ac:dyDescent="0.25">
      <c r="A6" t="s">
        <v>43</v>
      </c>
      <c r="B6" s="18">
        <f>Assumptions!B29*(1+B5)</f>
        <v>41217856546.77918</v>
      </c>
      <c r="C6" s="18">
        <f>B6*(1+C5)</f>
        <v>44085208976.0715</v>
      </c>
      <c r="D6" s="18">
        <f>C6*(1+D5)</f>
        <v>47152031019.81205</v>
      </c>
      <c r="E6" s="18">
        <f>D6*(1+E5)</f>
        <v>50432198937.745415</v>
      </c>
      <c r="F6" s="18">
        <f>E6*(1+F5)</f>
        <v>53940554302.47865</v>
      </c>
    </row>
    <row r="7" spans="1:6" x14ac:dyDescent="0.25">
      <c r="A7" t="s">
        <v>5</v>
      </c>
      <c r="B7" s="10">
        <f>Assumptions!B7</f>
        <v>0.13828729829381742</v>
      </c>
      <c r="C7" s="10">
        <f>Assumptions!B7</f>
        <v>0.13828729829381742</v>
      </c>
      <c r="D7" s="10">
        <f>Assumptions!B7</f>
        <v>0.13828729829381742</v>
      </c>
      <c r="E7" s="10">
        <f>Assumptions!B7</f>
        <v>0.13828729829381742</v>
      </c>
      <c r="F7" s="10">
        <f>Assumptions!B7</f>
        <v>0.13828729829381742</v>
      </c>
    </row>
    <row r="8" spans="1:6" x14ac:dyDescent="0.25">
      <c r="A8" t="s">
        <v>44</v>
      </c>
      <c r="B8" s="18">
        <f>B6*B7</f>
        <v>5699906023.316228</v>
      </c>
      <c r="C8" s="18">
        <f>C6*C7</f>
        <v>6096424444.019277</v>
      </c>
      <c r="D8" s="18">
        <f>D6*D7</f>
        <v>6520526978.796081</v>
      </c>
      <c r="E8" s="18">
        <f>E6*E7</f>
        <v>6974132538.117142</v>
      </c>
      <c r="F8" s="18">
        <f>F6*F7</f>
        <v>7459293522.960722</v>
      </c>
    </row>
    <row r="9" spans="1:6" x14ac:dyDescent="0.25">
      <c r="A9" t="s">
        <v>45</v>
      </c>
      <c r="B9" s="18">
        <f>B8*(1-Assumptions!B8)</f>
        <v>4502925758.41982</v>
      </c>
      <c r="C9" s="18">
        <f>C8*(1-Assumptions!B8)</f>
        <v>4816175310.7752285</v>
      </c>
      <c r="D9" s="18">
        <f>D8*(1-Assumptions!B8)</f>
        <v>5151216313.248904</v>
      </c>
      <c r="E9" s="18">
        <f>E8*(1-Assumptions!B8)</f>
        <v>5509564705.112542</v>
      </c>
      <c r="F9" s="18">
        <f>F8*(1-Assumptions!B8)</f>
        <v>5892841883.13897</v>
      </c>
    </row>
    <row r="10" spans="1:6" x14ac:dyDescent="0.25">
      <c r="A10" t="s">
        <v>46</v>
      </c>
      <c r="B10" s="18">
        <f>B6*Assumptions!B9</f>
        <v>1441081111.699719</v>
      </c>
      <c r="C10" s="18">
        <f>C6*Assumptions!B9</f>
        <v>1541331046.3791184</v>
      </c>
      <c r="D10" s="18">
        <f>D6*Assumptions!B9</f>
        <v>1648554946.1751444</v>
      </c>
      <c r="E10" s="18">
        <f>E6*Assumptions!B9</f>
        <v>1763237960.4258344</v>
      </c>
      <c r="F10" s="18">
        <f>F6*Assumptions!B9</f>
        <v>1885898988.2623854</v>
      </c>
    </row>
    <row r="11" spans="1:6" x14ac:dyDescent="0.25">
      <c r="A11" t="s">
        <v>47</v>
      </c>
      <c r="B11" s="18">
        <f>-B6*Assumptions!B10</f>
        <v>-1348762971.8158715</v>
      </c>
      <c r="C11" s="18">
        <f>-C6*Assumptions!B10</f>
        <v>-1442590722.887463</v>
      </c>
      <c r="D11" s="18">
        <f>-D6*Assumptions!B10</f>
        <v>-1542945674.8498828</v>
      </c>
      <c r="E11" s="18">
        <f>-E6*Assumptions!B10</f>
        <v>-1650281897.538362</v>
      </c>
      <c r="F11" s="18">
        <f>-F6*Assumptions!B10</f>
        <v>-1765085048.511372</v>
      </c>
    </row>
    <row r="12" spans="1:6" x14ac:dyDescent="0.25">
      <c r="A12" t="s">
        <v>48</v>
      </c>
      <c r="B12" s="18">
        <f>-(B6-Assumptions!B29)*Assumptions!B11</f>
        <v>-1245779712.1006315</v>
      </c>
      <c r="C12" s="18">
        <f>-(C6-B6)*Assumptions!B11</f>
        <v>-1332443352.161603</v>
      </c>
      <c r="D12" s="18">
        <f>-(D6-C6)*Assumptions!B11</f>
        <v>-1425135816.1275253</v>
      </c>
      <c r="E12" s="18">
        <f>-(E6-D6)*Assumptions!B11</f>
        <v>-1524276503.8488061</v>
      </c>
      <c r="F12" s="18">
        <f>-(F6-E6)*Assumptions!B11</f>
        <v>-1630313991.0544724</v>
      </c>
    </row>
    <row r="13" spans="1:6" x14ac:dyDescent="0.25">
      <c r="A13" s="19" t="s">
        <v>49</v>
      </c>
      <c r="B13" s="20">
        <f>B9+B10+B11+B12</f>
        <v>3349464186.2030363</v>
      </c>
      <c r="C13" s="20">
        <f>C9+C10+C11+C12</f>
        <v>3582472282.105281</v>
      </c>
      <c r="D13" s="20">
        <f>D9+D10+D11+D12</f>
        <v>3831689768.44664</v>
      </c>
      <c r="E13" s="20">
        <f>E9+E10+E11+E12</f>
        <v>4098244264.151209</v>
      </c>
      <c r="F13" s="20">
        <f>F9+F10+F11+F12</f>
        <v>4383341831.835512</v>
      </c>
    </row>
    <row r="14" spans="1:6" x14ac:dyDescent="0.25">
      <c r="A14" t="s">
        <v>50</v>
      </c>
      <c r="B14" s="21">
        <f>1/(1+Assumptions!$B$26)^(1-0.5*Assumptions!$B$32)</f>
        <v>0.9651965392347311</v>
      </c>
      <c r="C14" s="21">
        <f>1/(1+Assumptions!$B$26)^(2-0.5*Assumptions!$B$32)</f>
        <v>0.8991813035812868</v>
      </c>
      <c r="D14" s="21">
        <f>1/(1+Assumptions!$B$26)^(3-0.5*Assumptions!$B$32)</f>
        <v>0.8376812222629738</v>
      </c>
      <c r="E14" s="21">
        <f>1/(1+Assumptions!$B$26)^(4-0.5*Assumptions!$B$32)</f>
        <v>0.7803874784064109</v>
      </c>
      <c r="F14" s="21">
        <f>1/(1+Assumptions!$B$26)^(5-0.5*Assumptions!$B$32)</f>
        <v>0.7270123768661143</v>
      </c>
    </row>
    <row r="15" spans="1:6" x14ac:dyDescent="0.25">
      <c r="A15" s="19" t="s">
        <v>51</v>
      </c>
      <c r="B15" s="20">
        <f>B13*B14</f>
        <v>3232891240.8138456</v>
      </c>
      <c r="C15" s="20">
        <f>C13*C14</f>
        <v>3221292096.667254</v>
      </c>
      <c r="D15" s="20">
        <f>D13*D14</f>
        <v>3209734568.5649123</v>
      </c>
      <c r="E15" s="20">
        <f>E13*E14</f>
        <v>3198218507.1944985</v>
      </c>
      <c r="F15" s="20">
        <f>F13*F14</f>
        <v>3186743763.779403</v>
      </c>
    </row>
    <row r="17" spans="1:2" x14ac:dyDescent="0.25">
      <c r="A17" s="22" t="s">
        <v>52</v>
      </c>
      <c r="B17" s="23">
        <f>SUM(B15:F15)</f>
        <v>16048880177.019915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4383341831.835512</v>
      </c>
    </row>
    <row r="5" spans="1:2" x14ac:dyDescent="0.25">
      <c r="A5" t="s">
        <v>56</v>
      </c>
      <c r="B5" s="18">
        <f>IF(Assumptions!$B$33=0,B4,B4-Forecast!F11-Forecast!F10-Forecast!F12)</f>
        <v>5892841883.13897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0.3254321861383942</v>
      </c>
    </row>
    <row r="7" spans="1:2" x14ac:dyDescent="0.25">
      <c r="A7" t="s">
        <v>58</v>
      </c>
      <c r="B7" s="18">
        <f>-MAX(Forecast!F9,0)*B6</f>
        <v>-1917720416.5978067</v>
      </c>
    </row>
    <row r="8" spans="1:2" x14ac:dyDescent="0.25">
      <c r="A8" t="s">
        <v>59</v>
      </c>
      <c r="B8" s="18">
        <f>IF(OR(Assumptions!$B$33=0,Assumptions!B12&lt;=0),B5,MAX(B5+B7,0))</f>
        <v>3975121466.5411634</v>
      </c>
    </row>
    <row r="9" spans="1:2" x14ac:dyDescent="0.25">
      <c r="A9" t="s">
        <v>60</v>
      </c>
      <c r="B9" s="18">
        <f>B8*(1+Assumptions!B12)/(Assumptions!B26-Assumptions!B12)</f>
        <v>84154234729.0084</v>
      </c>
    </row>
    <row r="10" spans="1:2" x14ac:dyDescent="0.25">
      <c r="A10" t="s">
        <v>61</v>
      </c>
      <c r="B10" s="18">
        <f>B9/(1+Assumptions!B26)^(5-0.5*Assumptions!B32)</f>
        <v>61181170213.6853</v>
      </c>
    </row>
    <row r="11" spans="1:2" x14ac:dyDescent="0.25">
      <c r="A11" t="s">
        <v>62</v>
      </c>
      <c r="B11" s="18">
        <f>Forecast!B17+B10</f>
        <v>77230050390.70522</v>
      </c>
    </row>
    <row r="12" spans="1:2" x14ac:dyDescent="0.25">
      <c r="A12" t="s">
        <v>63</v>
      </c>
      <c r="B12" s="18">
        <f>-Assumptions!B30</f>
        <v>-19679000000</v>
      </c>
    </row>
    <row r="13" spans="1:2" x14ac:dyDescent="0.25">
      <c r="A13" t="s">
        <v>64</v>
      </c>
      <c r="B13" s="18">
        <f>B11+B12</f>
        <v>57551050390.705215</v>
      </c>
    </row>
    <row r="14" spans="1:2" x14ac:dyDescent="0.25">
      <c r="A14" s="19" t="s">
        <v>65</v>
      </c>
      <c r="B14" s="24">
        <f>B13/Assumptions!B31</f>
        <v>44.3400250576319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9345192511.223106</v>
      </c>
    </row>
    <row r="18" spans="1:2" x14ac:dyDescent="0.25">
      <c r="A18" t="s">
        <v>60</v>
      </c>
      <c r="B18" s="18">
        <f>B17*Assumptions!B13</f>
        <v>182740652730.73138</v>
      </c>
    </row>
    <row r="19" spans="1:2" x14ac:dyDescent="0.25">
      <c r="A19" t="s">
        <v>61</v>
      </c>
      <c r="B19" s="18">
        <f>B18/(1+Assumptions!B26)^(5-0.5*Assumptions!B32)</f>
        <v>132854716291.83421</v>
      </c>
    </row>
    <row r="20" spans="1:2" x14ac:dyDescent="0.25">
      <c r="A20" t="s">
        <v>62</v>
      </c>
      <c r="B20" s="18">
        <f>Forecast!B17+B19</f>
        <v>148903596468.85413</v>
      </c>
    </row>
    <row r="21" spans="1:2" x14ac:dyDescent="0.25">
      <c r="A21" t="s">
        <v>63</v>
      </c>
      <c r="B21" s="18">
        <f>-Assumptions!B30</f>
        <v>-19679000000</v>
      </c>
    </row>
    <row r="22" spans="1:2" x14ac:dyDescent="0.25">
      <c r="A22" t="s">
        <v>64</v>
      </c>
      <c r="B22" s="18">
        <f>B20+B21</f>
        <v>129224596468.85413</v>
      </c>
    </row>
    <row r="23" spans="1:2" x14ac:dyDescent="0.25">
      <c r="A23" s="19" t="s">
        <v>65</v>
      </c>
      <c r="B23" s="25">
        <f>B22/Assumptions!B31</f>
        <v>99.56068232625617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60.85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44.3400250576319</v>
      </c>
    </row>
    <row r="29" spans="1:2" x14ac:dyDescent="0.25">
      <c r="A29" s="19" t="s">
        <v>73</v>
      </c>
      <c r="B29" s="12">
        <f>B28/B26-1</f>
        <v>-0.2713225134325079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0.053417</v>
      </c>
      <c r="B5" s="31">
        <v>74.17864057911844</v>
      </c>
      <c r="C5" s="31">
        <v>78.90253181090627</v>
      </c>
      <c r="D5" s="31">
        <v>85.20649298925305</v>
      </c>
      <c r="E5" s="31">
        <v>94.10265415636678</v>
      </c>
      <c r="F5" s="31">
        <v>107.70227120796909</v>
      </c>
    </row>
    <row r="6" spans="1:6" x14ac:dyDescent="0.25">
      <c r="A6" s="30">
        <v>0.063417</v>
      </c>
      <c r="B6" s="31">
        <v>55.57602181929014</v>
      </c>
      <c r="C6" s="31">
        <v>57.319486863694785</v>
      </c>
      <c r="D6" s="31">
        <v>59.45845152716695</v>
      </c>
      <c r="E6" s="31">
        <v>62.17044503991923</v>
      </c>
      <c r="F6" s="31">
        <v>65.75794242532497</v>
      </c>
    </row>
    <row r="7" spans="1:6" x14ac:dyDescent="0.25">
      <c r="A7" s="30">
        <v>0.073417</v>
      </c>
      <c r="B7" s="31">
        <v>43.35535526982877</v>
      </c>
      <c r="C7" s="31">
        <v>43.82174038917418</v>
      </c>
      <c r="D7" s="32">
        <v>44.34008095424985</v>
      </c>
      <c r="E7" s="31">
        <v>44.92832688527034</v>
      </c>
      <c r="F7" s="31">
        <v>45.61377288221668</v>
      </c>
    </row>
    <row r="8" spans="1:6" x14ac:dyDescent="0.25">
      <c r="A8" s="30">
        <v>0.083417</v>
      </c>
      <c r="B8" s="31">
        <v>35.44277087393487</v>
      </c>
      <c r="C8" s="31">
        <v>35.632529924610296</v>
      </c>
      <c r="D8" s="31">
        <v>35.822288975285716</v>
      </c>
      <c r="E8" s="31">
        <v>36.012048025961136</v>
      </c>
      <c r="F8" s="31">
        <v>36.201807076636555</v>
      </c>
    </row>
    <row r="9" spans="1:6" x14ac:dyDescent="0.25">
      <c r="A9" s="30">
        <v>0.093417</v>
      </c>
      <c r="B9" s="31">
        <v>29.65545683580804</v>
      </c>
      <c r="C9" s="31">
        <v>29.818039919969014</v>
      </c>
      <c r="D9" s="31">
        <v>29.980623004129978</v>
      </c>
      <c r="E9" s="31">
        <v>30.143206088290942</v>
      </c>
      <c r="F9" s="31">
        <v>30.305789172451902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38537000000</v>
      </c>
      <c r="C5" s="18">
        <v>36441000000</v>
      </c>
      <c r="D5" s="18">
        <v>36016000000</v>
      </c>
      <c r="E5" s="18">
        <v>31496000000</v>
      </c>
      <c r="F5" s="8" t="s">
        <v>84</v>
      </c>
    </row>
    <row r="6" spans="1:6" x14ac:dyDescent="0.25">
      <c r="A6" t="s">
        <v>44</v>
      </c>
      <c r="B6" s="18">
        <v>3620000000</v>
      </c>
      <c r="C6" s="18">
        <v>6665000000</v>
      </c>
      <c r="D6" s="18">
        <v>5611000000</v>
      </c>
      <c r="E6" s="18">
        <v>3796000000</v>
      </c>
      <c r="F6" s="8" t="s">
        <v>85</v>
      </c>
    </row>
    <row r="7" spans="1:6" x14ac:dyDescent="0.25">
      <c r="A7" t="s">
        <v>86</v>
      </c>
      <c r="B7" s="18">
        <v>1358000000</v>
      </c>
      <c r="C7" s="18">
        <v>1302000000</v>
      </c>
      <c r="D7" s="18">
        <v>1215000000</v>
      </c>
      <c r="E7" s="18">
        <v>1107000000</v>
      </c>
      <c r="F7" s="8" t="s">
        <v>87</v>
      </c>
    </row>
    <row r="8" spans="1:6" x14ac:dyDescent="0.25">
      <c r="A8" t="s">
        <v>88</v>
      </c>
      <c r="B8" s="18">
        <v>1279000000</v>
      </c>
      <c r="C8" s="18">
        <v>1387000000</v>
      </c>
      <c r="D8" s="18">
        <v>1112000000</v>
      </c>
      <c r="E8" s="18">
        <v>906000000</v>
      </c>
      <c r="F8" s="8" t="s">
        <v>89</v>
      </c>
    </row>
    <row r="9" spans="1:6" x14ac:dyDescent="0.25">
      <c r="A9" t="s">
        <v>90</v>
      </c>
      <c r="B9" s="18">
        <v>974000000</v>
      </c>
      <c r="C9" s="18">
        <v>969000000</v>
      </c>
      <c r="D9" s="18">
        <v>509000000</v>
      </c>
      <c r="E9" s="18">
        <v>513000000</v>
      </c>
      <c r="F9" s="8" t="s">
        <v>91</v>
      </c>
    </row>
    <row r="10" spans="1:6" x14ac:dyDescent="0.25">
      <c r="A10" t="s">
        <v>92</v>
      </c>
      <c r="B10" s="18">
        <v>21804000000</v>
      </c>
      <c r="C10" s="18">
        <v>18372000000</v>
      </c>
      <c r="D10" s="18">
        <v>19945000000</v>
      </c>
      <c r="E10" s="18">
        <v>23447000000</v>
      </c>
      <c r="F10" s="8" t="s">
        <v>93</v>
      </c>
    </row>
    <row r="11" spans="1:6" x14ac:dyDescent="0.25">
      <c r="A11" t="s">
        <v>94</v>
      </c>
      <c r="B11" s="18">
        <v>2125000000</v>
      </c>
      <c r="C11" s="18">
        <v>1351000000</v>
      </c>
      <c r="D11" s="18">
        <v>1810000000</v>
      </c>
      <c r="E11" s="18">
        <v>1923000000</v>
      </c>
      <c r="F11" s="8" t="s">
        <v>95</v>
      </c>
    </row>
    <row r="12" spans="1:6" x14ac:dyDescent="0.25">
      <c r="A12" t="s">
        <v>32</v>
      </c>
      <c r="B12" s="34">
        <v>1297948080</v>
      </c>
      <c r="C12" s="34">
        <v>1346946120</v>
      </c>
      <c r="D12" s="34">
        <v>1369945200</v>
      </c>
      <c r="E12" s="34">
        <v>1384944600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2026-09-19T00:07:48Z</dcterms:modified>
</cp:coreProperties>
</file>