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<sst xmlns="http://schemas.openxmlformats.org/spreadsheetml/2006/main" count="111" uniqueCount="99">
  <si>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Medtronic plc (MDT)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</si>
  <si>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</si>
  <si>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</si>
  <si>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</si>
  <si>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</si>
  <si>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</si>
  <si>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</si>
  <si>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</si>
  <si>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</si>
  <si>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</si>
  <si>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</si>
  <si>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</si>
  <si>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</si>
  <si>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</si>
  <si>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</si>
  <si>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</si>
  <si>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</si>
  <si>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</si>
  <si>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</si>
  <si>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</si>
  <si>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</si>
  <si>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</si>
  <si>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</si>
  <si>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</si>
  <si>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</si>
  <si>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</si>
  <si>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</si>
  <si>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</si>
  <si>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</si>
  <si>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</si>
  <si>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2026-04-30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</si>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</sst>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0.05207603643755454</v>
      </c>
    </row>
    <row r="7" spans="1:2" x14ac:dyDescent="0.25">
      <c r="A7" t="s">
        <v>5</v>
      </c>
      <c r="B7" s="6">
        <v>0.18500847775960386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0.08370223085355522</v>
      </c>
    </row>
    <row r="10" spans="1:2" x14ac:dyDescent="0.25">
      <c r="A10" t="s">
        <v>8</v>
      </c>
      <c r="B10" s="6">
        <v>0.05088728615949312</v>
      </c>
    </row>
    <row r="11" spans="1:2" x14ac:dyDescent="0.25">
      <c r="A11" t="s">
        <v>9</v>
      </c>
      <c r="B11" s="6">
        <v>0.5033604527767952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13.95748768281218</v>
      </c>
    </row>
    <row r="14" spans="1:3" x14ac:dyDescent="0.25">
      <c r="A14" t="s">
        <v>12</v>
      </c>
      <c r="B14" s="6">
        <v>0.07973239837076103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0.71458</v>
      </c>
      <c r="C19" s="8" t="s">
        <v>19</v>
      </c>
    </row>
    <row r="20" spans="1:2" x14ac:dyDescent="0.25">
      <c r="A20" t="s">
        <v>20</v>
      </c>
      <c r="B20" s="10">
        <f>B17+B19*B18</f>
        <v>0.0892819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117846974464</v>
      </c>
    </row>
    <row r="23" spans="1:2" x14ac:dyDescent="0.25">
      <c r="A23" t="s">
        <v>24</v>
      </c>
      <c r="B23" s="11">
        <v>27961000000</v>
      </c>
    </row>
    <row r="24" spans="1:2" x14ac:dyDescent="0.25">
      <c r="A24" t="s">
        <v>25</v>
      </c>
      <c r="B24" s="10">
        <f>B22/(B22+B23)</f>
        <v>0.8082340825130687</v>
      </c>
    </row>
    <row r="25" spans="1:2" x14ac:dyDescent="0.25">
      <c r="A25" t="s">
        <v>26</v>
      </c>
      <c r="B25" s="10">
        <f>1-B24</f>
        <v>0.19176591748693128</v>
      </c>
    </row>
    <row r="26" spans="1:2" x14ac:dyDescent="0.25">
      <c r="A26" t="s">
        <v>27</v>
      </c>
      <c r="B26" s="12">
        <f>B24*B20+B25*B21*(1-B8)</f>
        <v>0.07973239837076103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36364000000</v>
      </c>
      <c r="C29" s="8" t="s">
        <v>30</v>
      </c>
    </row>
    <row r="30" spans="1:2" x14ac:dyDescent="0.25">
      <c r="A30" t="s">
        <v>31</v>
      </c>
      <c r="B30" s="11">
        <v>18741000000</v>
      </c>
    </row>
    <row r="31" spans="1:2" x14ac:dyDescent="0.25">
      <c r="A31" t="s">
        <v>32</v>
      </c>
      <c r="B31" s="13">
        <v>1288100000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0.05207603643755454</v>
      </c>
      <c r="C5" s="10">
        <f>Assumptions!B6</f>
        <v>0.05207603643755454</v>
      </c>
      <c r="D5" s="10">
        <f>Assumptions!B6</f>
        <v>0.05207603643755454</v>
      </c>
      <c r="E5" s="10">
        <f>Assumptions!B6</f>
        <v>0.05207603643755454</v>
      </c>
      <c r="F5" s="10">
        <f>Assumptions!B6</f>
        <v>0.05207603643755454</v>
      </c>
    </row>
    <row r="6" spans="1:6" x14ac:dyDescent="0.25">
      <c r="A6" t="s">
        <v>43</v>
      </c>
      <c r="B6" s="18">
        <f>Assumptions!B29*(1+B5)</f>
        <v>38257692989.015236</v>
      </c>
      <c r="C6" s="18">
        <f>B6*(1+C5)</f>
        <v>40250002003.12797</v>
      </c>
      <c r="D6" s="18">
        <f>C6*(1+D5)</f>
        <v>42346062574.054504</v>
      </c>
      <c r="E6" s="18">
        <f>D6*(1+E5)</f>
        <v>44551277671.647934</v>
      </c>
      <c r="F6" s="18">
        <f>E6*(1+F5)</f>
        <v>46871331631.01628</v>
      </c>
    </row>
    <row r="7" spans="1:6" x14ac:dyDescent="0.25">
      <c r="A7" t="s">
        <v>5</v>
      </c>
      <c r="B7" s="10">
        <f>Assumptions!B7</f>
        <v>0.18500847775960386</v>
      </c>
      <c r="C7" s="10">
        <f>Assumptions!B7</f>
        <v>0.18500847775960386</v>
      </c>
      <c r="D7" s="10">
        <f>Assumptions!B7</f>
        <v>0.18500847775960386</v>
      </c>
      <c r="E7" s="10">
        <f>Assumptions!B7</f>
        <v>0.18500847775960386</v>
      </c>
      <c r="F7" s="10">
        <f>Assumptions!B7</f>
        <v>0.18500847775960386</v>
      </c>
    </row>
    <row r="8" spans="1:6" x14ac:dyDescent="0.25">
      <c r="A8" t="s">
        <v>44</v>
      </c>
      <c r="B8" s="18">
        <f>B6*B7</f>
        <v>7077997542.491978</v>
      </c>
      <c r="C8" s="18">
        <f>C6*C7</f>
        <v>7446591600.419711</v>
      </c>
      <c r="D8" s="18">
        <f>D6*D7</f>
        <v>7834380575.938756</v>
      </c>
      <c r="E8" s="18">
        <f>E6*E7</f>
        <v>8242364064.277013</v>
      </c>
      <c r="F8" s="18">
        <f>F6*F7</f>
        <v>8671593715.619892</v>
      </c>
    </row>
    <row r="9" spans="1:6" x14ac:dyDescent="0.25">
      <c r="A9" t="s">
        <v>45</v>
      </c>
      <c r="B9" s="18">
        <f>B8*(1-Assumptions!B8)</f>
        <v>5591618058.568663</v>
      </c>
      <c r="C9" s="18">
        <f>C8*(1-Assumptions!B8)</f>
        <v>5882807364.331572</v>
      </c>
      <c r="D9" s="18">
        <f>D8*(1-Assumptions!B8)</f>
        <v>6189160654.991617</v>
      </c>
      <c r="E9" s="18">
        <f>E8*(1-Assumptions!B8)</f>
        <v>6511467610.77884</v>
      </c>
      <c r="F9" s="18">
        <f>F8*(1-Assumptions!B8)</f>
        <v>6850559035.339715</v>
      </c>
    </row>
    <row r="10" spans="1:6" x14ac:dyDescent="0.25">
      <c r="A10" t="s">
        <v>46</v>
      </c>
      <c r="B10" s="18">
        <f>B6*Assumptions!B9</f>
        <v>3202254250.490994</v>
      </c>
      <c r="C10" s="18">
        <f>C6*Assumptions!B9</f>
        <v>3369014959.521877</v>
      </c>
      <c r="D10" s="18">
        <f>D6*Assumptions!B9</f>
        <v>3544459905.312605</v>
      </c>
      <c r="E10" s="18">
        <f>E6*Assumptions!B9</f>
        <v>3729041328.4931154</v>
      </c>
      <c r="F10" s="18">
        <f>F6*Assumptions!B9</f>
        <v>3923235020.5928693</v>
      </c>
    </row>
    <row r="11" spans="1:6" x14ac:dyDescent="0.25">
      <c r="A11" t="s">
        <v>47</v>
      </c>
      <c r="B11" s="18">
        <f>-B6*Assumptions!B10</f>
        <v>-1946830170.9340518</v>
      </c>
      <c r="C11" s="18">
        <f>-C6*Assumptions!B10</f>
        <v>-2048213369.853344</v>
      </c>
      <c r="D11" s="18">
        <f>-D6*Assumptions!B10</f>
        <v>-2154876203.9337134</v>
      </c>
      <c r="E11" s="18">
        <f>-E6*Assumptions!B10</f>
        <v>-2267093615.648185</v>
      </c>
      <c r="F11" s="18">
        <f>-F6*Assumptions!B10</f>
        <v>-2385154865.3840265</v>
      </c>
    </row>
    <row r="12" spans="1:6" x14ac:dyDescent="0.25">
      <c r="A12" t="s">
        <v>48</v>
      </c>
      <c r="B12" s="18">
        <f>-(B6-Assumptions!B29)*Assumptions!B11</f>
        <v>-953210160.3709518</v>
      </c>
      <c r="C12" s="18">
        <f>-(C6-B6)*Assumptions!B11</f>
        <v>-1002849567.4150752</v>
      </c>
      <c r="D12" s="18">
        <f>-(D6-C6)*Assumptions!B11</f>
        <v>-1055073998.0291693</v>
      </c>
      <c r="E12" s="18">
        <f>-(E6-D6)*Assumptions!B11</f>
        <v>-1110018069.9948533</v>
      </c>
      <c r="F12" s="18">
        <f>-(F6-E6)*Assumptions!B11</f>
        <v>-1167823411.4542477</v>
      </c>
    </row>
    <row r="13" spans="1:6" x14ac:dyDescent="0.25">
      <c r="A13" s="19" t="s">
        <v>49</v>
      </c>
      <c r="B13" s="20">
        <f>B9+B10+B11+B12</f>
        <v>5893831977.754653</v>
      </c>
      <c r="C13" s="20">
        <f>C9+C10+C11+C12</f>
        <v>6200759386.58503</v>
      </c>
      <c r="D13" s="20">
        <f>D9+D10+D11+D12</f>
        <v>6523670358.341339</v>
      </c>
      <c r="E13" s="20">
        <f>E9+E10+E11+E12</f>
        <v>6863397253.628918</v>
      </c>
      <c r="F13" s="20">
        <f>F9+F10+F11+F12</f>
        <v>7220815779.094311</v>
      </c>
    </row>
    <row r="14" spans="1:6" x14ac:dyDescent="0.25">
      <c r="A14" t="s">
        <v>50</v>
      </c>
      <c r="B14" s="21">
        <f>1/(1+Assumptions!$B$26)^(1-0.5*Assumptions!$B$32)</f>
        <v>0.9623696836725303</v>
      </c>
      <c r="C14" s="21">
        <f>1/(1+Assumptions!$B$26)^(2-0.5*Assumptions!$B$32)</f>
        <v>0.8913038870785738</v>
      </c>
      <c r="D14" s="21">
        <f>1/(1+Assumptions!$B$26)^(3-0.5*Assumptions!$B$32)</f>
        <v>0.8254859152355598</v>
      </c>
      <c r="E14" s="21">
        <f>1/(1+Assumptions!$B$26)^(4-0.5*Assumptions!$B$32)</f>
        <v>0.7645282446661404</v>
      </c>
      <c r="F14" s="21">
        <f>1/(1+Assumptions!$B$26)^(5-0.5*Assumptions!$B$32)</f>
        <v>0.7080719684060226</v>
      </c>
    </row>
    <row r="15" spans="1:6" x14ac:dyDescent="0.25">
      <c r="A15" s="19" t="s">
        <v>51</v>
      </c>
      <c r="B15" s="20">
        <f>B13*B14</f>
        <v>5672045216.050789</v>
      </c>
      <c r="C15" s="20">
        <f>C13*C14</f>
        <v>5526760944.10219</v>
      </c>
      <c r="D15" s="20">
        <f>D13*D14</f>
        <v>5385197996.450493</v>
      </c>
      <c r="E15" s="20">
        <f>E13*E14</f>
        <v>5247261054.763326</v>
      </c>
      <c r="F15" s="20">
        <f>F13*F14</f>
        <v>5112857242.200576</v>
      </c>
    </row>
    <row r="17" spans="1:2" x14ac:dyDescent="0.25">
      <c r="A17" s="22" t="s">
        <v>52</v>
      </c>
      <c r="B17" s="23">
        <f>SUM(B15:F15)</f>
        <v>26944122453.567375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7220815779.094311</v>
      </c>
    </row>
    <row r="5" spans="1:2" x14ac:dyDescent="0.25">
      <c r="A5" t="s">
        <v>56</v>
      </c>
      <c r="B5" s="18">
        <f>IF(Assumptions!$B$33=0,B4,B4-Forecast!F11-Forecast!F10-Forecast!F12)</f>
        <v>8788044705.029871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0.3135488272126008</v>
      </c>
    </row>
    <row r="7" spans="1:2" x14ac:dyDescent="0.25">
      <c r="A7" t="s">
        <v>58</v>
      </c>
      <c r="B7" s="18">
        <f>-MAX(Forecast!F9,0)*B6</f>
        <v>-2755481110.7540226</v>
      </c>
    </row>
    <row r="8" spans="1:2" x14ac:dyDescent="0.25">
      <c r="A8" t="s">
        <v>59</v>
      </c>
      <c r="B8" s="18">
        <f>IF(OR(Assumptions!$B$33=0,Assumptions!B12&lt;=0),B5,MAX(B5+B7,0))</f>
        <v>6032563594.275848</v>
      </c>
    </row>
    <row r="9" spans="1:2" x14ac:dyDescent="0.25">
      <c r="A9" t="s">
        <v>60</v>
      </c>
      <c r="B9" s="18">
        <f>B8*(1+Assumptions!B12)/(Assumptions!B26-Assumptions!B12)</f>
        <v>112974725540.91489</v>
      </c>
    </row>
    <row r="10" spans="1:2" x14ac:dyDescent="0.25">
      <c r="A10" t="s">
        <v>61</v>
      </c>
      <c r="B10" s="18">
        <f>B9/(1+Assumptions!B26)^(5-0.5*Assumptions!B32)</f>
        <v>79994236293.88576</v>
      </c>
    </row>
    <row r="11" spans="1:2" x14ac:dyDescent="0.25">
      <c r="A11" t="s">
        <v>62</v>
      </c>
      <c r="B11" s="18">
        <f>Forecast!B17+B10</f>
        <v>106938358747.45312</v>
      </c>
    </row>
    <row r="12" spans="1:2" x14ac:dyDescent="0.25">
      <c r="A12" t="s">
        <v>63</v>
      </c>
      <c r="B12" s="18">
        <f>-Assumptions!B30</f>
        <v>-18741000000</v>
      </c>
    </row>
    <row r="13" spans="1:2" x14ac:dyDescent="0.25">
      <c r="A13" t="s">
        <v>64</v>
      </c>
      <c r="B13" s="18">
        <f>B11+B12</f>
        <v>88197358747.45312</v>
      </c>
    </row>
    <row r="14" spans="1:2" x14ac:dyDescent="0.25">
      <c r="A14" s="19" t="s">
        <v>65</v>
      </c>
      <c r="B14" s="24">
        <f>B13/Assumptions!B31</f>
        <v>68.47089414443997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12594828736.21276</v>
      </c>
    </row>
    <row r="18" spans="1:2" x14ac:dyDescent="0.25">
      <c r="A18" t="s">
        <v>60</v>
      </c>
      <c r="B18" s="18">
        <f>B17*Assumptions!B13</f>
        <v>175792166952.8185</v>
      </c>
    </row>
    <row r="19" spans="1:2" x14ac:dyDescent="0.25">
      <c r="A19" t="s">
        <v>61</v>
      </c>
      <c r="B19" s="18">
        <f>B18/(1+Assumptions!B26)^(5-0.5*Assumptions!B32)</f>
        <v>124473505684.64236</v>
      </c>
    </row>
    <row r="20" spans="1:2" x14ac:dyDescent="0.25">
      <c r="A20" t="s">
        <v>62</v>
      </c>
      <c r="B20" s="18">
        <f>Forecast!B17+B19</f>
        <v>151417628138.20975</v>
      </c>
    </row>
    <row r="21" spans="1:2" x14ac:dyDescent="0.25">
      <c r="A21" t="s">
        <v>63</v>
      </c>
      <c r="B21" s="18">
        <f>-Assumptions!B30</f>
        <v>-18741000000</v>
      </c>
    </row>
    <row r="22" spans="1:2" x14ac:dyDescent="0.25">
      <c r="A22" t="s">
        <v>64</v>
      </c>
      <c r="B22" s="18">
        <f>B20+B21</f>
        <v>132676628138.20975</v>
      </c>
    </row>
    <row r="23" spans="1:2" x14ac:dyDescent="0.25">
      <c r="A23" s="19" t="s">
        <v>65</v>
      </c>
      <c r="B23" s="25">
        <f>B22/Assumptions!B31</f>
        <v>103.00180742039419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92.13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68.47089414443997</v>
      </c>
    </row>
    <row r="29" spans="1:2" x14ac:dyDescent="0.25">
      <c r="A29" s="19" t="s">
        <v>73</v>
      </c>
      <c r="B29" s="12">
        <f>B28/B26-1</f>
        <v>-0.2568013226479977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0.059732</v>
      </c>
      <c r="B5" s="31">
        <v>98.71741376166293</v>
      </c>
      <c r="C5" s="31">
        <v>100.209020704083</v>
      </c>
      <c r="D5" s="31">
        <v>102.01219074290954</v>
      </c>
      <c r="E5" s="31">
        <v>104.2841096189637</v>
      </c>
      <c r="F5" s="31">
        <v>107.30907429805555</v>
      </c>
    </row>
    <row r="6" spans="1:6" x14ac:dyDescent="0.25">
      <c r="A6" s="30">
        <v>0.069732</v>
      </c>
      <c r="B6" s="31">
        <v>80.17503383709251</v>
      </c>
      <c r="C6" s="31">
        <v>80.53622999032659</v>
      </c>
      <c r="D6" s="31">
        <v>80.89742614356062</v>
      </c>
      <c r="E6" s="31">
        <v>81.2586222967947</v>
      </c>
      <c r="F6" s="31">
        <v>81.61981845002877</v>
      </c>
    </row>
    <row r="7" spans="1:6" x14ac:dyDescent="0.25">
      <c r="A7" s="30">
        <v>0.079732</v>
      </c>
      <c r="B7" s="31">
        <v>67.86544430652367</v>
      </c>
      <c r="C7" s="31">
        <v>68.16838537036803</v>
      </c>
      <c r="D7" s="32">
        <v>68.47132643421237</v>
      </c>
      <c r="E7" s="31">
        <v>68.77426749805673</v>
      </c>
      <c r="F7" s="31">
        <v>69.07720856190106</v>
      </c>
    </row>
    <row r="8" spans="1:6" x14ac:dyDescent="0.25">
      <c r="A8" s="30">
        <v>0.089732</v>
      </c>
      <c r="B8" s="31">
        <v>58.32643889897439</v>
      </c>
      <c r="C8" s="31">
        <v>58.584680773365065</v>
      </c>
      <c r="D8" s="31">
        <v>58.8429226477557</v>
      </c>
      <c r="E8" s="31">
        <v>59.10116452214638</v>
      </c>
      <c r="F8" s="31">
        <v>59.35940639653702</v>
      </c>
    </row>
    <row r="9" spans="1:6" x14ac:dyDescent="0.25">
      <c r="A9" s="30">
        <v>0.099732</v>
      </c>
      <c r="B9" s="31">
        <v>50.72323103102337</v>
      </c>
      <c r="C9" s="31">
        <v>50.94622199900078</v>
      </c>
      <c r="D9" s="31">
        <v>51.169212966978186</v>
      </c>
      <c r="E9" s="31">
        <v>51.392203934955596</v>
      </c>
      <c r="F9" s="31">
        <v>51.61519490293299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36364000000</v>
      </c>
      <c r="C5" s="18">
        <v>33537000000</v>
      </c>
      <c r="D5" s="18">
        <v>32364000000</v>
      </c>
      <c r="E5" s="18">
        <v>31227000000</v>
      </c>
      <c r="F5" s="8" t="s">
        <v>84</v>
      </c>
    </row>
    <row r="6" spans="1:6" x14ac:dyDescent="0.25">
      <c r="A6" t="s">
        <v>44</v>
      </c>
      <c r="B6" s="18">
        <v>6828000000</v>
      </c>
      <c r="C6" s="18">
        <v>6540000000</v>
      </c>
      <c r="D6" s="18">
        <v>5520000000</v>
      </c>
      <c r="E6" s="18">
        <v>5830000000</v>
      </c>
      <c r="F6" s="8" t="s">
        <v>85</v>
      </c>
    </row>
    <row r="7" spans="1:6" x14ac:dyDescent="0.25">
      <c r="A7" t="s">
        <v>86</v>
      </c>
      <c r="B7" s="18">
        <v>2958000000</v>
      </c>
      <c r="C7" s="18">
        <v>2861000000</v>
      </c>
      <c r="D7" s="18">
        <v>2647000000</v>
      </c>
      <c r="E7" s="18">
        <v>2697000000</v>
      </c>
      <c r="F7" s="8" t="s">
        <v>87</v>
      </c>
    </row>
    <row r="8" spans="1:6" x14ac:dyDescent="0.25">
      <c r="A8" t="s">
        <v>88</v>
      </c>
      <c r="B8" s="18">
        <v>1904000000</v>
      </c>
      <c r="C8" s="18">
        <v>1859000000</v>
      </c>
      <c r="D8" s="18">
        <v>1587000000</v>
      </c>
      <c r="E8" s="18">
        <v>1459000000</v>
      </c>
      <c r="F8" s="8" t="s">
        <v>89</v>
      </c>
    </row>
    <row r="9" spans="1:6" x14ac:dyDescent="0.25">
      <c r="A9" t="s">
        <v>90</v>
      </c>
      <c r="B9" s="18">
        <v>1423000000</v>
      </c>
      <c r="C9" s="18">
        <v>1054000000</v>
      </c>
      <c r="D9" s="18">
        <v>484000000</v>
      </c>
      <c r="E9" s="18">
        <v>967000000</v>
      </c>
      <c r="F9" s="8" t="s">
        <v>91</v>
      </c>
    </row>
    <row r="10" spans="1:6" x14ac:dyDescent="0.25">
      <c r="A10" t="s">
        <v>92</v>
      </c>
      <c r="B10" s="18">
        <v>27961000000</v>
      </c>
      <c r="C10" s="18">
        <v>28516000000</v>
      </c>
      <c r="D10" s="18">
        <v>25024000000</v>
      </c>
      <c r="E10" s="18">
        <v>24364000000</v>
      </c>
      <c r="F10" s="8" t="s">
        <v>93</v>
      </c>
    </row>
    <row r="11" spans="1:6" x14ac:dyDescent="0.25">
      <c r="A11" t="s">
        <v>94</v>
      </c>
      <c r="B11" s="18">
        <v>9220000000</v>
      </c>
      <c r="C11" s="18">
        <v>8965000000</v>
      </c>
      <c r="D11" s="18">
        <v>8005000000</v>
      </c>
      <c r="E11" s="18">
        <v>7959000000</v>
      </c>
      <c r="F11" s="8" t="s">
        <v>95</v>
      </c>
    </row>
    <row r="12" spans="1:6" x14ac:dyDescent="0.25">
      <c r="A12" t="s">
        <v>32</v>
      </c>
      <c r="B12" s="34">
        <v>1288100000</v>
      </c>
      <c r="C12" s="34">
        <v>1289900000</v>
      </c>
      <c r="D12" s="34">
        <v>1330200000</v>
      </c>
      <c r="E12" s="34">
        <v>1332800000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