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<sst xmlns="http://schemas.openxmlformats.org/spreadsheetml/2006/main" count="119" uniqueCount="106">
  <si>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Medtronic plc (MDT)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</si>
  <si>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</si>
  <si>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</si>
  <si>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</si>
  <si>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</si>
  <si>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</si>
  <si>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</si>
  <si>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</si>
  <si>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</si>
  <si>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</si>
  <si>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</si>
  <si>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</si>
  <si>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</si>
  <si>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</si>
  <si>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</si>
  <si>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</si>
  <si>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</si>
  <si>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</si>
  <si>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</si>
  <si>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</si>
  <si>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</si>
  <si>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</si>
  <si>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</si>
  <si>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</si>
  <si>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9.5x interest cover. Book interest / average debt was lower, at 2.5%.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</si>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</sst>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0.0717009737652623</v>
      </c>
    </row>
    <row r="7" spans="1:2" x14ac:dyDescent="0.25">
      <c r="A7" t="s">
        <v>4</v>
      </c>
      <c r="B7" s="5">
        <v>0.18500847775960386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0.08370223085355522</v>
      </c>
    </row>
    <row r="10" spans="1:3" x14ac:dyDescent="0.25">
      <c r="A10" t="s">
        <v>7</v>
      </c>
      <c r="B10" s="5">
        <v>0.05088728615949312</v>
      </c>
      <c r="C10" s="6" t="s">
        <v>8</v>
      </c>
    </row>
    <row r="11" spans="1:2" x14ac:dyDescent="0.25">
      <c r="A11" t="s">
        <v>9</v>
      </c>
      <c r="B11" s="5">
        <v>0.27620486928286525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14.533923714694462</v>
      </c>
    </row>
    <row r="14" spans="1:3" x14ac:dyDescent="0.25">
      <c r="A14" t="s">
        <v>12</v>
      </c>
      <c r="B14" s="5">
        <v>0.07211037906120013</v>
      </c>
      <c r="C14" s="6" t="s">
        <v>13</v>
      </c>
    </row>
    <row r="15" spans="1:3" x14ac:dyDescent="0.25">
      <c r="A15" t="s">
        <v>14</v>
      </c>
      <c r="B15" s="5">
        <v>0.03137784789717257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0.7098899999999999</v>
      </c>
      <c r="C19" s="6" t="s">
        <v>21</v>
      </c>
    </row>
    <row r="20" spans="1:2" x14ac:dyDescent="0.25">
      <c r="A20" t="s">
        <v>22</v>
      </c>
      <c r="B20" s="9">
        <f>B17+B19*B18</f>
        <v>0.078968347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123487977472</v>
      </c>
    </row>
    <row r="23" spans="1:2" x14ac:dyDescent="0.25">
      <c r="A23" t="s">
        <v>26</v>
      </c>
      <c r="B23" s="10">
        <v>27961000000</v>
      </c>
    </row>
    <row r="24" spans="1:2" x14ac:dyDescent="0.25">
      <c r="A24" t="s">
        <v>27</v>
      </c>
      <c r="B24" s="9">
        <f>B22/(B22+B23)</f>
        <v>0.8153767660453868</v>
      </c>
    </row>
    <row r="25" spans="1:2" x14ac:dyDescent="0.25">
      <c r="A25" t="s">
        <v>28</v>
      </c>
      <c r="B25" s="9">
        <f>1-B24</f>
        <v>0.18462323395461322</v>
      </c>
    </row>
    <row r="26" spans="1:2" x14ac:dyDescent="0.25">
      <c r="A26" t="s">
        <v>29</v>
      </c>
      <c r="B26" s="11">
        <f>B24*B20+B25*B21*(1-B8)</f>
        <v>0.07211037906120013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36364000000</v>
      </c>
      <c r="C29" s="6" t="s">
        <v>32</v>
      </c>
    </row>
    <row r="30" spans="1:2" x14ac:dyDescent="0.25">
      <c r="A30" t="s">
        <v>33</v>
      </c>
      <c r="B30" s="10">
        <v>18741000000</v>
      </c>
    </row>
    <row r="31" spans="1:2" x14ac:dyDescent="0.25">
      <c r="A31" t="s">
        <v>34</v>
      </c>
      <c r="B31" s="12">
        <v>1288100000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0.0717009737652623</v>
      </c>
      <c r="C5" s="5">
        <v>0.03663933886137283</v>
      </c>
      <c r="D5" s="5">
        <v>0.03518442150370123</v>
      </c>
      <c r="E5" s="5">
        <v>0.03372950414602962</v>
      </c>
      <c r="F5" s="5">
        <v>0.03227458678835802</v>
      </c>
      <c r="G5" s="5">
        <v>0.030819669430686415</v>
      </c>
      <c r="H5" s="5">
        <v>0.02936475207301481</v>
      </c>
      <c r="I5" s="5">
        <v>0.02790983471534321</v>
      </c>
      <c r="J5" s="5">
        <v>0.026454917357671606</v>
      </c>
      <c r="K5" s="5">
        <v>0.025</v>
      </c>
    </row>
    <row r="6" spans="1:11" x14ac:dyDescent="0.25">
      <c r="A6" t="s">
        <v>50</v>
      </c>
      <c r="B6" s="18">
        <f>Assumptions!B29*(1+B5)</f>
        <v>38971334210</v>
      </c>
      <c r="C6" s="18">
        <f>B6*(1+C5)</f>
        <v>40399218130</v>
      </c>
      <c r="D6" s="18">
        <f>C6*(1+D5)</f>
        <v>41820641249.10589</v>
      </c>
      <c r="E6" s="18">
        <f>D6*(1+E5)</f>
        <v>43231230741.507225</v>
      </c>
      <c r="F6" s="18">
        <f>E6*(1+F5)</f>
        <v>44626500850.041534</v>
      </c>
      <c r="G6" s="18">
        <f>F6*(1+G5)</f>
        <v>46001874854.08806</v>
      </c>
      <c r="H6" s="18">
        <f>G6*(1+H5)</f>
        <v>47352708504.072205</v>
      </c>
      <c r="I6" s="18">
        <f>H6*(1+I5)</f>
        <v>48674314771.74469</v>
      </c>
      <c r="J6" s="18">
        <f>I6*(1+J5)</f>
        <v>49961989746.47249</v>
      </c>
      <c r="K6" s="18">
        <f>J6*(1+K5)</f>
        <v>51211039490.13429</v>
      </c>
    </row>
    <row r="7" spans="1:11" x14ac:dyDescent="0.25">
      <c r="A7" t="s">
        <v>4</v>
      </c>
      <c r="B7" s="9">
        <f>Assumptions!B7</f>
        <v>0.18500847775960386</v>
      </c>
      <c r="C7" s="9">
        <f>Assumptions!B7</f>
        <v>0.18500847775960386</v>
      </c>
      <c r="D7" s="9">
        <f>Assumptions!B7</f>
        <v>0.18500847775960386</v>
      </c>
      <c r="E7" s="9">
        <f>Assumptions!B7</f>
        <v>0.18500847775960386</v>
      </c>
      <c r="F7" s="9">
        <f>Assumptions!B7</f>
        <v>0.18500847775960386</v>
      </c>
      <c r="G7" s="9">
        <f>Assumptions!B7</f>
        <v>0.18500847775960386</v>
      </c>
      <c r="H7" s="9">
        <f>Assumptions!B7</f>
        <v>0.18500847775960386</v>
      </c>
      <c r="I7" s="9">
        <f>Assumptions!B7</f>
        <v>0.18500847775960386</v>
      </c>
      <c r="J7" s="9">
        <f>Assumptions!B7</f>
        <v>0.18500847775960386</v>
      </c>
      <c r="K7" s="9">
        <f>Assumptions!B7</f>
        <v>0.18500847775960386</v>
      </c>
    </row>
    <row r="8" spans="1:11" x14ac:dyDescent="0.25">
      <c r="A8" t="s">
        <v>51</v>
      </c>
      <c r="B8" s="18">
        <f>B6*B7</f>
        <v>7210027218.452874</v>
      </c>
      <c r="C8" s="18">
        <f>C6*C7</f>
        <v>7474197848.90949</v>
      </c>
      <c r="D8" s="18">
        <f>D6*D7</f>
        <v>7737173176.427578</v>
      </c>
      <c r="E8" s="18">
        <f>E6*E7</f>
        <v>7998144191.160442</v>
      </c>
      <c r="F8" s="18">
        <f>F6*F7</f>
        <v>8256280990.003852</v>
      </c>
      <c r="G8" s="18">
        <f>G6*G7</f>
        <v>8510736840.84263</v>
      </c>
      <c r="H8" s="18">
        <f>H6*H7</f>
        <v>8760652518.132647</v>
      </c>
      <c r="I8" s="18">
        <f>I6*I7</f>
        <v>9005160881.912285</v>
      </c>
      <c r="J8" s="18">
        <f>J6*J7</f>
        <v>9243391668.835812</v>
      </c>
      <c r="K8" s="18">
        <f>K6*K7</f>
        <v>9474476460.556705</v>
      </c>
    </row>
    <row r="9" spans="1:11" x14ac:dyDescent="0.25">
      <c r="A9" t="s">
        <v>52</v>
      </c>
      <c r="B9" s="18">
        <f>B8*(1-Assumptions!B8)</f>
        <v>5695921502.577771</v>
      </c>
      <c r="C9" s="18">
        <f>C8*(1-Assumptions!B8)</f>
        <v>5904616300.638497</v>
      </c>
      <c r="D9" s="18">
        <f>D8*(1-Assumptions!B8)</f>
        <v>6112366809.377787</v>
      </c>
      <c r="E9" s="18">
        <f>E8*(1-Assumptions!B8)</f>
        <v>6318533911.016749</v>
      </c>
      <c r="F9" s="18">
        <f>F8*(1-Assumptions!B8)</f>
        <v>6522461982.103044</v>
      </c>
      <c r="G9" s="18">
        <f>G8*(1-Assumptions!B8)</f>
        <v>6723482104.265678</v>
      </c>
      <c r="H9" s="18">
        <f>H8*(1-Assumptions!B8)</f>
        <v>6920915489.324791</v>
      </c>
      <c r="I9" s="18">
        <f>I8*(1-Assumptions!B8)</f>
        <v>7114077096.710706</v>
      </c>
      <c r="J9" s="18">
        <f>J8*(1-Assumptions!B8)</f>
        <v>7302279418.380292</v>
      </c>
      <c r="K9" s="18">
        <f>K8*(1-Assumptions!B8)</f>
        <v>7484836403.839798</v>
      </c>
    </row>
    <row r="10" spans="1:11" x14ac:dyDescent="0.25">
      <c r="A10" t="s">
        <v>53</v>
      </c>
      <c r="B10" s="18">
        <f>B6*Assumptions!B9</f>
        <v>3261987612.716474</v>
      </c>
      <c r="C10" s="18">
        <f>C6*Assumptions!B9</f>
        <v>3381504682.220393</v>
      </c>
      <c r="D10" s="18">
        <f>D6*Assumptions!B9</f>
        <v>3500480968.276375</v>
      </c>
      <c r="E10" s="18">
        <f>E6*Assumptions!B9</f>
        <v>3618550455.6089506</v>
      </c>
      <c r="F10" s="18">
        <f>F6*Assumptions!B9</f>
        <v>3735337676.3365545</v>
      </c>
      <c r="G10" s="18">
        <f>G6*Assumptions!B9</f>
        <v>3850459548.7332354</v>
      </c>
      <c r="H10" s="18">
        <f>H6*Assumptions!B9</f>
        <v>3963527338.748959</v>
      </c>
      <c r="I10" s="18">
        <f>I6*Assumptions!B9</f>
        <v>4074148731.6631866</v>
      </c>
      <c r="J10" s="18">
        <f>J6*Assumptions!B9</f>
        <v>4181929999.662199</v>
      </c>
      <c r="K10" s="18">
        <f>K6*Assumptions!B9</f>
        <v>4286478249.6537533</v>
      </c>
    </row>
    <row r="11" spans="1:11" x14ac:dyDescent="0.25">
      <c r="A11" t="s">
        <v>54</v>
      </c>
      <c r="B11" s="18">
        <f>-B6*B19</f>
        <v>-1983145435.9615135</v>
      </c>
      <c r="C11" s="18">
        <f>-C6*C19</f>
        <v>-2260013996.2944393</v>
      </c>
      <c r="D11" s="18">
        <f>-D6*D19</f>
        <v>-2550923624.071901</v>
      </c>
      <c r="E11" s="18">
        <f>-E6*E19</f>
        <v>-2855487514.6542816</v>
      </c>
      <c r="F11" s="18">
        <f>-F6*F19</f>
        <v>-3173222419.34111</v>
      </c>
      <c r="G11" s="18">
        <f>-G6*G19</f>
        <v>-3503547464.275765</v>
      </c>
      <c r="H11" s="18">
        <f>-H6*H19</f>
        <v>-3845783754.7135572</v>
      </c>
      <c r="I11" s="18">
        <f>-I6*I19</f>
        <v>-4199154803.5338235</v>
      </c>
      <c r="J11" s="18">
        <f>-J6*J19</f>
        <v>-4562787815.048662</v>
      </c>
      <c r="K11" s="18">
        <f>-K6*K19</f>
        <v>-4935715846.595543</v>
      </c>
    </row>
    <row r="12" spans="1:11" x14ac:dyDescent="0.25">
      <c r="A12" t="s">
        <v>55</v>
      </c>
      <c r="B12" s="18">
        <f>-(B6-Assumptions!B29)*Assumptions!B11</f>
        <v>-720158404.6497928</v>
      </c>
      <c r="C12" s="18">
        <f>-(C6-B6)*Assumptions!B11</f>
        <v>-394388491.4747052</v>
      </c>
      <c r="D12" s="18">
        <f>-(D6-C6)*Assumptions!B11</f>
        <v>-392603986.8082845</v>
      </c>
      <c r="E12" s="18">
        <f>-(E6-D6)*Assumptions!B11</f>
        <v>-389611686.36049443</v>
      </c>
      <c r="F12" s="18">
        <f>-(F6-E6)*Assumptions!B11</f>
        <v>-385380397.94200814</v>
      </c>
      <c r="G12" s="18">
        <f>-(G6-F6)*Assumptions!B11</f>
        <v>-379884997.00272113</v>
      </c>
      <c r="H12" s="18">
        <f>-(H6-G6)*Assumptions!B11</f>
        <v>-373106831.71676683</v>
      </c>
      <c r="I12" s="18">
        <f>-(I6-H6)*Assumptions!B11</f>
        <v>-365034086.4058942</v>
      </c>
      <c r="J12" s="18">
        <f>-(J6-I6)*Assumptions!B11</f>
        <v>-355662098.0735084</v>
      </c>
      <c r="K12" s="18">
        <f>-(K6-J6)*Assumptions!B11</f>
        <v>-344993621.175905</v>
      </c>
    </row>
    <row r="13" spans="1:11" x14ac:dyDescent="0.25">
      <c r="A13" s="19" t="s">
        <v>56</v>
      </c>
      <c r="B13" s="20">
        <f>B9+B10+B11+B12</f>
        <v>6254605274.682939</v>
      </c>
      <c r="C13" s="20">
        <f>C9+C10+C11+C12</f>
        <v>6631718495.089746</v>
      </c>
      <c r="D13" s="20">
        <f>D9+D10+D11+D12</f>
        <v>6669320166.773975</v>
      </c>
      <c r="E13" s="20">
        <f>E9+E10+E11+E12</f>
        <v>6691985165.610924</v>
      </c>
      <c r="F13" s="20">
        <f>F9+F10+F11+F12</f>
        <v>6699196841.15648</v>
      </c>
      <c r="G13" s="20">
        <f>G9+G10+G11+G12</f>
        <v>6690509191.7204275</v>
      </c>
      <c r="H13" s="20">
        <f>H9+H10+H11+H12</f>
        <v>6665552241.643425</v>
      </c>
      <c r="I13" s="20">
        <f>I9+I10+I11+I12</f>
        <v>6624036938.434175</v>
      </c>
      <c r="J13" s="20">
        <f>J9+J10+J11+J12</f>
        <v>6565759504.920321</v>
      </c>
      <c r="K13" s="20">
        <f>K9+K10+K11+K12</f>
        <v>6490605185.722103</v>
      </c>
    </row>
    <row r="14" spans="1:11" x14ac:dyDescent="0.25">
      <c r="A14" t="s">
        <v>57</v>
      </c>
      <c r="B14" s="21">
        <f>1/(1+Assumptions!$B$26)^(1-0.5*Assumptions!$B$32)</f>
        <v>0.9657845416231771</v>
      </c>
      <c r="C14" s="21">
        <f>1/(1+Assumptions!$B$26)^(2-0.5*Assumptions!$B$32)</f>
        <v>0.9008256616906107</v>
      </c>
      <c r="D14" s="21">
        <f>1/(1+Assumptions!$B$26)^(3-0.5*Assumptions!$B$32)</f>
        <v>0.8402359302588079</v>
      </c>
      <c r="E14" s="21">
        <f>1/(1+Assumptions!$B$26)^(4-0.5*Assumptions!$B$32)</f>
        <v>0.7837214774420574</v>
      </c>
      <c r="F14" s="21">
        <f>1/(1+Assumptions!$B$26)^(5-0.5*Assumptions!$B$32)</f>
        <v>0.7310081991075656</v>
      </c>
      <c r="G14" s="21">
        <f>1/(1+Assumptions!$B$26)^(6-0.5*Assumptions!$B$32)</f>
        <v>0.681840427426584</v>
      </c>
      <c r="H14" s="21">
        <f>1/(1+Assumptions!$B$26)^(7-0.5*Assumptions!$B$32)</f>
        <v>0.635979690844558</v>
      </c>
      <c r="I14" s="21">
        <f>1/(1+Assumptions!$B$26)^(8-0.5*Assumptions!$B$32)</f>
        <v>0.5932035574559565</v>
      </c>
      <c r="J14" s="21">
        <f>1/(1+Assumptions!$B$26)^(9-0.5*Assumptions!$B$32)</f>
        <v>0.553304556173963</v>
      </c>
      <c r="K14" s="21">
        <f>1/(1+Assumptions!$B$26)^(10-0.5*Assumptions!$B$32)</f>
        <v>0.5160891704625297</v>
      </c>
    </row>
    <row r="15" spans="1:11" x14ac:dyDescent="0.25">
      <c r="A15" s="19" t="s">
        <v>58</v>
      </c>
      <c r="B15" s="20">
        <f>B13*B14</f>
        <v>6040601088.243567</v>
      </c>
      <c r="C15" s="20">
        <f>C13*C14</f>
        <v>5974022201.485082</v>
      </c>
      <c r="D15" s="20">
        <f>D13*D14</f>
        <v>5603802434.523159</v>
      </c>
      <c r="E15" s="20">
        <f>E13*E14</f>
        <v>5244652501.012924</v>
      </c>
      <c r="F15" s="20">
        <f>F13*F14</f>
        <v>4897167818.32089</v>
      </c>
      <c r="G15" s="20">
        <f>G13*G14</f>
        <v>4561859646.984145</v>
      </c>
      <c r="H15" s="20">
        <f>H13*H14</f>
        <v>4239155853.9486356</v>
      </c>
      <c r="I15" s="20">
        <f>I13*I14</f>
        <v>3929402276.5988154</v>
      </c>
      <c r="J15" s="20">
        <f>J13*J14</f>
        <v>3632864648.8149176</v>
      </c>
      <c r="K15" s="20">
        <f>K13*K14</f>
        <v>3349731046.0991135</v>
      </c>
    </row>
    <row r="17" spans="1:2" x14ac:dyDescent="0.25">
      <c r="A17" s="22" t="s">
        <v>59</v>
      </c>
      <c r="B17" s="23">
        <f>SUM(B15:K15)</f>
        <v>47473259516.03126</v>
      </c>
    </row>
    <row r="19" spans="1:11" x14ac:dyDescent="0.25">
      <c r="A19" t="s">
        <v>7</v>
      </c>
      <c r="B19" s="9">
        <f>Assumptions!$B$10+($B$20-Assumptions!$B$10)*0/9</f>
        <v>0.05088728615949312</v>
      </c>
      <c r="C19" s="9">
        <f>Assumptions!$B$10+($B$20-Assumptions!$B$10)*1/9</f>
        <v>0.05594202316049722</v>
      </c>
      <c r="D19" s="9">
        <f>Assumptions!$B$10+($B$20-Assumptions!$B$10)*2/9</f>
        <v>0.06099676016150132</v>
      </c>
      <c r="E19" s="9">
        <f>Assumptions!$B$10+($B$20-Assumptions!$B$10)*3/9</f>
        <v>0.06605149716250543</v>
      </c>
      <c r="F19" s="9">
        <f>Assumptions!$B$10+($B$20-Assumptions!$B$10)*4/9</f>
        <v>0.07110623416350953</v>
      </c>
      <c r="G19" s="9">
        <f>Assumptions!$B$10+($B$20-Assumptions!$B$10)*5/9</f>
        <v>0.07616097116451362</v>
      </c>
      <c r="H19" s="9">
        <f>Assumptions!$B$10+($B$20-Assumptions!$B$10)*6/9</f>
        <v>0.08121570816551772</v>
      </c>
      <c r="I19" s="9">
        <f>Assumptions!$B$10+($B$20-Assumptions!$B$10)*7/9</f>
        <v>0.08627044516652183</v>
      </c>
      <c r="J19" s="9">
        <f>Assumptions!$B$10+($B$20-Assumptions!$B$10)*8/9</f>
        <v>0.09132518216752593</v>
      </c>
      <c r="K19" s="9">
        <f>Assumptions!$B$10+($B$20-Assumptions!$B$10)*9/9</f>
        <v>0.09637991916853003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0.09637991916853003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6490605185.722103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9601709376.922012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0.3466907305920897</v>
      </c>
    </row>
    <row r="7" spans="1:2" x14ac:dyDescent="0.25">
      <c r="A7" t="s">
        <v>66</v>
      </c>
      <c r="B7" s="18">
        <f>-MAX(B5,0)*B6</f>
        <v>-3328823638.818011</v>
      </c>
    </row>
    <row r="8" spans="1:2" x14ac:dyDescent="0.25">
      <c r="A8" t="s">
        <v>67</v>
      </c>
      <c r="B8" s="18">
        <f>IF(OR(Assumptions!$B$33=0,Assumptions!B12&lt;=0),B5,MAX(B5+B7,0))</f>
        <v>6272885738.104002</v>
      </c>
    </row>
    <row r="9" spans="1:2" x14ac:dyDescent="0.25">
      <c r="A9" t="s">
        <v>68</v>
      </c>
      <c r="B9" s="18">
        <f>B8*(1+Assumptions!B12)/(Assumptions!B26-Assumptions!B12)</f>
        <v>136481769191.53844</v>
      </c>
    </row>
    <row r="10" spans="1:2" x14ac:dyDescent="0.25">
      <c r="A10" t="s">
        <v>69</v>
      </c>
      <c r="B10" s="18">
        <f>B9/(1+Assumptions!B26)^(10-0.5*Assumptions!B32)</f>
        <v>70436763045.3195</v>
      </c>
    </row>
    <row r="11" spans="1:2" x14ac:dyDescent="0.25">
      <c r="A11" t="s">
        <v>70</v>
      </c>
      <c r="B11" s="18">
        <f>Forecast!B17+B10</f>
        <v>117910022561.35077</v>
      </c>
    </row>
    <row r="12" spans="1:2" x14ac:dyDescent="0.25">
      <c r="A12" t="s">
        <v>71</v>
      </c>
      <c r="B12" s="18">
        <f>-Assumptions!B30</f>
        <v>-18741000000</v>
      </c>
    </row>
    <row r="13" spans="1:2" x14ac:dyDescent="0.25">
      <c r="A13" t="s">
        <v>72</v>
      </c>
      <c r="B13" s="18">
        <f>B11+B12</f>
        <v>99169022561.35077</v>
      </c>
    </row>
    <row r="14" spans="1:2" x14ac:dyDescent="0.25">
      <c r="A14" s="19" t="s">
        <v>73</v>
      </c>
      <c r="B14" s="24">
        <f>B13/Assumptions!B31</f>
        <v>76.98860535777561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13760954710.210459</v>
      </c>
    </row>
    <row r="18" spans="1:2" x14ac:dyDescent="0.25">
      <c r="A18" t="s">
        <v>68</v>
      </c>
      <c r="B18" s="18">
        <f>B17*Assumptions!B13</f>
        <v>200000665999.56424</v>
      </c>
    </row>
    <row r="19" spans="1:2" x14ac:dyDescent="0.25">
      <c r="A19" t="s">
        <v>69</v>
      </c>
      <c r="B19" s="18">
        <f>B18/(1+Assumptions!B26)^(10-0.5*Assumptions!B32)</f>
        <v>103218177807.66856</v>
      </c>
    </row>
    <row r="20" spans="1:2" x14ac:dyDescent="0.25">
      <c r="A20" t="s">
        <v>70</v>
      </c>
      <c r="B20" s="18">
        <f>Forecast!B17+B19</f>
        <v>150691437323.69983</v>
      </c>
    </row>
    <row r="21" spans="1:2" x14ac:dyDescent="0.25">
      <c r="A21" t="s">
        <v>71</v>
      </c>
      <c r="B21" s="18">
        <f>-Assumptions!B30</f>
        <v>-18741000000</v>
      </c>
    </row>
    <row r="22" spans="1:2" x14ac:dyDescent="0.25">
      <c r="A22" t="s">
        <v>72</v>
      </c>
      <c r="B22" s="18">
        <f>B20+B21</f>
        <v>131950437323.69983</v>
      </c>
    </row>
    <row r="23" spans="1:2" x14ac:dyDescent="0.25">
      <c r="A23" s="19" t="s">
        <v>73</v>
      </c>
      <c r="B23" s="25">
        <f>B22/Assumptions!B31</f>
        <v>102.43803844709248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96.54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76.98860535777561</v>
      </c>
    </row>
    <row r="29" spans="1:2" x14ac:dyDescent="0.25">
      <c r="A29" s="19" t="s">
        <v>81</v>
      </c>
      <c r="B29" s="11">
        <f>B28/B26-1</f>
        <v>-0.20252117922337265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0.05211</v>
      </c>
      <c r="B5" s="31">
        <v>124.76888433587327</v>
      </c>
      <c r="C5" s="31">
        <v>127.03152659985213</v>
      </c>
      <c r="D5" s="31">
        <v>130.70160308495196</v>
      </c>
      <c r="E5" s="31">
        <v>136.73395383263895</v>
      </c>
      <c r="F5" s="31">
        <v>147.19953816137044</v>
      </c>
    </row>
    <row r="6" spans="1:6" x14ac:dyDescent="0.25">
      <c r="A6" s="30">
        <v>0.06211</v>
      </c>
      <c r="B6" s="31">
        <v>95.91003325254658</v>
      </c>
      <c r="C6" s="31">
        <v>94.80406147426686</v>
      </c>
      <c r="D6" s="31">
        <v>93.79519597568992</v>
      </c>
      <c r="E6" s="31">
        <v>92.92879939137032</v>
      </c>
      <c r="F6" s="31">
        <v>92.28369996600942</v>
      </c>
    </row>
    <row r="7" spans="1:6" x14ac:dyDescent="0.25">
      <c r="A7" s="30">
        <v>0.07211</v>
      </c>
      <c r="B7" s="31">
        <v>79.45531300765127</v>
      </c>
      <c r="C7" s="31">
        <v>78.22220402016949</v>
      </c>
      <c r="D7" s="32">
        <v>76.98909503268771</v>
      </c>
      <c r="E7" s="31">
        <v>75.75598604520592</v>
      </c>
      <c r="F7" s="31">
        <v>74.52287705772412</v>
      </c>
    </row>
    <row r="8" spans="1:6" x14ac:dyDescent="0.25">
      <c r="A8" s="30">
        <v>0.08211</v>
      </c>
      <c r="B8" s="31">
        <v>67.70365943526977</v>
      </c>
      <c r="C8" s="31">
        <v>66.67929701304091</v>
      </c>
      <c r="D8" s="31">
        <v>65.65493459081206</v>
      </c>
      <c r="E8" s="31">
        <v>64.63057216858321</v>
      </c>
      <c r="F8" s="31">
        <v>63.60620974635436</v>
      </c>
    </row>
    <row r="9" spans="1:6" x14ac:dyDescent="0.25">
      <c r="A9" s="30">
        <v>0.09211</v>
      </c>
      <c r="B9" s="31">
        <v>58.529135909960615</v>
      </c>
      <c r="C9" s="31">
        <v>57.664629078981186</v>
      </c>
      <c r="D9" s="31">
        <v>56.80012224800174</v>
      </c>
      <c r="E9" s="31">
        <v>55.93561541702231</v>
      </c>
      <c r="F9" s="31">
        <v>55.07110858604288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36364000000</v>
      </c>
      <c r="C5" s="18">
        <v>33537000000</v>
      </c>
      <c r="D5" s="18">
        <v>32364000000</v>
      </c>
      <c r="E5" s="18">
        <v>31227000000</v>
      </c>
      <c r="F5" s="6" t="s">
        <v>91</v>
      </c>
    </row>
    <row r="6" spans="1:6" x14ac:dyDescent="0.25">
      <c r="A6" t="s">
        <v>51</v>
      </c>
      <c r="B6" s="18">
        <v>6828000000</v>
      </c>
      <c r="C6" s="18">
        <v>6540000000</v>
      </c>
      <c r="D6" s="18">
        <v>5520000000</v>
      </c>
      <c r="E6" s="18">
        <v>5830000000</v>
      </c>
      <c r="F6" s="6" t="s">
        <v>92</v>
      </c>
    </row>
    <row r="7" spans="1:6" x14ac:dyDescent="0.25">
      <c r="A7" t="s">
        <v>93</v>
      </c>
      <c r="B7" s="18">
        <v>2958000000</v>
      </c>
      <c r="C7" s="18">
        <v>2861000000</v>
      </c>
      <c r="D7" s="18">
        <v>2647000000</v>
      </c>
      <c r="E7" s="18">
        <v>2697000000</v>
      </c>
      <c r="F7" s="6" t="s">
        <v>94</v>
      </c>
    </row>
    <row r="8" spans="1:6" x14ac:dyDescent="0.25">
      <c r="A8" t="s">
        <v>95</v>
      </c>
      <c r="B8" s="18">
        <v>1904000000</v>
      </c>
      <c r="C8" s="18">
        <v>1859000000</v>
      </c>
      <c r="D8" s="18">
        <v>1587000000</v>
      </c>
      <c r="E8" s="18">
        <v>1459000000</v>
      </c>
      <c r="F8" s="6" t="s">
        <v>96</v>
      </c>
    </row>
    <row r="9" spans="1:6" x14ac:dyDescent="0.25">
      <c r="A9" t="s">
        <v>97</v>
      </c>
      <c r="B9" s="18">
        <v>1423000000</v>
      </c>
      <c r="C9" s="18">
        <v>1054000000</v>
      </c>
      <c r="D9" s="18">
        <v>484000000</v>
      </c>
      <c r="E9" s="18">
        <v>967000000</v>
      </c>
      <c r="F9" s="6" t="s">
        <v>98</v>
      </c>
    </row>
    <row r="10" spans="1:6" x14ac:dyDescent="0.25">
      <c r="A10" t="s">
        <v>99</v>
      </c>
      <c r="B10" s="18">
        <v>27961000000</v>
      </c>
      <c r="C10" s="18">
        <v>28516000000</v>
      </c>
      <c r="D10" s="18">
        <v>25024000000</v>
      </c>
      <c r="E10" s="18">
        <v>24364000000</v>
      </c>
      <c r="F10" s="6" t="s">
        <v>100</v>
      </c>
    </row>
    <row r="11" spans="1:6" x14ac:dyDescent="0.25">
      <c r="A11" t="s">
        <v>101</v>
      </c>
      <c r="B11" s="18">
        <v>9220000000</v>
      </c>
      <c r="C11" s="18">
        <v>8965000000</v>
      </c>
      <c r="D11" s="18">
        <v>8005000000</v>
      </c>
      <c r="E11" s="18">
        <v>7959000000</v>
      </c>
      <c r="F11" s="6" t="s">
        <v>102</v>
      </c>
    </row>
    <row r="12" spans="1:6" x14ac:dyDescent="0.25">
      <c r="A12" t="s">
        <v>34</v>
      </c>
      <c r="B12" s="34">
        <v>1288100000</v>
      </c>
      <c r="C12" s="34">
        <v>1289900000</v>
      </c>
      <c r="D12" s="34">
        <v>1330200000</v>
      </c>
      <c r="E12" s="34">
        <v>1332800000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