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<sst xmlns="http://schemas.openxmlformats.org/spreadsheetml/2006/main" count="113" uniqueCount="101">
  <si>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Meridian Energy Limited (MEL.NZ)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</si>
  <si>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</si>
  <si>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</si>
  <si>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</si>
  <si>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</si>
  <si>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</si>
  <si>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</si>
  <si>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</si>
  <si>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</si>
  <si>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</si>
  <si>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</si>
  <si>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</si>
  <si>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</si>
  <si>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</si>
  <si>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</si>
  <si>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</si>
  <si>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</si>
  <si>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</si>
  <si>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</si>
  <si>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</si>
  <si>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</si>
  <si>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</si>
  <si>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</si>
  <si>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</si>
  <si>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</si>
  <si>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</si>
  <si>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</si>
  <si>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</si>
  <si>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</si>
  <si>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</si>
  <si>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2026-06-30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</si>
  <si>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</si>
  <si>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</si>
  <si>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</si>
  <si>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</si>
  <si>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</si>
  <si>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</si>
  <si>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</si>
  <si>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</si>
  <si>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</si>
  <si>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</si>
  <si>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</si>
  <si>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</si>
  <si>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</si>
  <si>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</si>
  <si>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</si>
  <si>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</si>
  <si>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</si>
  <si>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</si>
  <si>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</si>
  <si>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</si>
  <si>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</si>
  <si>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</si>
  <si>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</si>
  <si>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</si>
  <si>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</si>
  <si>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</si>
  <si>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</si>
  <si>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</si>
  <si>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</si>
  <si>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</si>
  <si>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</si>
  <si>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</si>
  <si>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</si>
  <si>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</si>
  <si>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</si>
  <si>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</si>
  <si>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</si>
  <si>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</si>
  <si>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</si>
  <si>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NZD to NZD</t>
  </si>
  <si>
    <t>Same currency, no conversion</t>
  </si>
  <si>
    <t>Value per share (NZD)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</si>
  <si>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</si>
  <si>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</si>
  <si>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</si>
  <si>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</si>
  <si>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</si>
  <si>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</si>
  <si>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</si>
  <si>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</si>
  <si>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</si>
  <si>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</si>
  <si>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</si>
  <si>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</si>
  <si>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</si>
  <si>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</si>
  <si>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</si>
  <si>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</si>
  <si>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</si>
  <si>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</si>
  <si>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</si>
  <si>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</si>
  <si>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</si>
  <si>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</si>
  <si>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</si>
  <si>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</si>
  <si>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</si>
  <si>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</si>
  <si>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Note: Risk-free rate is an assumption: NZD assumption - no free live source available for this market.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</si>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</sst>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0.06343213538594061</v>
      </c>
    </row>
    <row r="7" spans="1:2" x14ac:dyDescent="0.25">
      <c r="A7" t="s">
        <v>5</v>
      </c>
      <c r="B7" s="6">
        <v>0.1496744728134461</v>
      </c>
    </row>
    <row r="8" spans="1:2" x14ac:dyDescent="0.25">
      <c r="A8" t="s">
        <v>6</v>
      </c>
      <c r="B8" s="6">
        <v>0.24603174603174602</v>
      </c>
    </row>
    <row r="9" spans="1:2" x14ac:dyDescent="0.25">
      <c r="A9" t="s">
        <v>7</v>
      </c>
      <c r="B9" s="6">
        <v>0.09821190482206152</v>
      </c>
    </row>
    <row r="10" spans="1:2" x14ac:dyDescent="0.25">
      <c r="A10" t="s">
        <v>8</v>
      </c>
      <c r="B10" s="6">
        <v>0.06974429005754296</v>
      </c>
    </row>
    <row r="11" spans="1:2" x14ac:dyDescent="0.25">
      <c r="A11" t="s">
        <v>9</v>
      </c>
      <c r="B11" s="6">
        <v>0.1167076167076167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12.225098650746268</v>
      </c>
    </row>
    <row r="14" spans="1:3" x14ac:dyDescent="0.25">
      <c r="A14" t="s">
        <v>12</v>
      </c>
      <c r="B14" s="6">
        <v>0.0808150898359172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0.6375299999999999</v>
      </c>
      <c r="C19" s="8" t="s">
        <v>19</v>
      </c>
    </row>
    <row r="20" spans="1:2" x14ac:dyDescent="0.25">
      <c r="A20" t="s">
        <v>20</v>
      </c>
      <c r="B20" s="10">
        <f>B17+B19*B18</f>
        <v>0.08643945</v>
      </c>
    </row>
    <row r="21" spans="1:3" x14ac:dyDescent="0.25">
      <c r="A21" t="s">
        <v>21</v>
      </c>
      <c r="B21" s="6">
        <v>0.05271920088790233</v>
      </c>
      <c r="C21" s="8" t="s">
        <v>22</v>
      </c>
    </row>
    <row r="22" spans="1:2" x14ac:dyDescent="0.25">
      <c r="A22" t="s">
        <v>23</v>
      </c>
      <c r="B22" s="11">
        <v>14858632192</v>
      </c>
    </row>
    <row r="23" spans="1:2" x14ac:dyDescent="0.25">
      <c r="A23" t="s">
        <v>24</v>
      </c>
      <c r="B23" s="11">
        <v>2035000000</v>
      </c>
    </row>
    <row r="24" spans="1:2" x14ac:dyDescent="0.25">
      <c r="A24" t="s">
        <v>25</v>
      </c>
      <c r="B24" s="10">
        <f>B22/(B22+B23)</f>
        <v>0.8795404104415345</v>
      </c>
    </row>
    <row r="25" spans="1:2" x14ac:dyDescent="0.25">
      <c r="A25" t="s">
        <v>26</v>
      </c>
      <c r="B25" s="10">
        <f>1-B24</f>
        <v>0.12045958955846547</v>
      </c>
    </row>
    <row r="26" spans="1:2" x14ac:dyDescent="0.25">
      <c r="A26" t="s">
        <v>27</v>
      </c>
      <c r="B26" s="12">
        <f>B24*B20+B25*B21*(1-B8)</f>
        <v>0.0808150898359172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3852000000</v>
      </c>
      <c r="C29" s="8" t="s">
        <v>30</v>
      </c>
    </row>
    <row r="30" spans="1:2" x14ac:dyDescent="0.25">
      <c r="A30" t="s">
        <v>31</v>
      </c>
      <c r="B30" s="11">
        <v>1523000000</v>
      </c>
    </row>
    <row r="31" spans="1:2" x14ac:dyDescent="0.25">
      <c r="A31" t="s">
        <v>32</v>
      </c>
      <c r="B31" s="13">
        <v>2634142996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0.06343213538594061</v>
      </c>
      <c r="C5" s="10">
        <f>Assumptions!B6</f>
        <v>0.06343213538594061</v>
      </c>
      <c r="D5" s="10">
        <f>Assumptions!B6</f>
        <v>0.06343213538594061</v>
      </c>
      <c r="E5" s="10">
        <f>Assumptions!B6</f>
        <v>0.06343213538594061</v>
      </c>
      <c r="F5" s="10">
        <f>Assumptions!B6</f>
        <v>0.06343213538594061</v>
      </c>
    </row>
    <row r="6" spans="1:6" x14ac:dyDescent="0.25">
      <c r="A6" t="s">
        <v>43</v>
      </c>
      <c r="B6" s="18">
        <f>Assumptions!B29*(1+B5)</f>
        <v>4096340585.5066433</v>
      </c>
      <c r="C6" s="18">
        <f>B6*(1+C5)</f>
        <v>4356180216.113424</v>
      </c>
      <c r="D6" s="18">
        <f>C6*(1+D5)</f>
        <v>4632502029.347487</v>
      </c>
      <c r="E6" s="18">
        <f>D6*(1+E5)</f>
        <v>4926351525.248702</v>
      </c>
      <c r="F6" s="18">
        <f>E6*(1+F5)</f>
        <v>5238840522.157013</v>
      </c>
    </row>
    <row r="7" spans="1:6" x14ac:dyDescent="0.25">
      <c r="A7" t="s">
        <v>5</v>
      </c>
      <c r="B7" s="10">
        <f>Assumptions!B7</f>
        <v>0.1496744728134461</v>
      </c>
      <c r="C7" s="10">
        <f>Assumptions!B7</f>
        <v>0.1496744728134461</v>
      </c>
      <c r="D7" s="10">
        <f>Assumptions!B7</f>
        <v>0.1496744728134461</v>
      </c>
      <c r="E7" s="10">
        <f>Assumptions!B7</f>
        <v>0.1496744728134461</v>
      </c>
      <c r="F7" s="10">
        <f>Assumptions!B7</f>
        <v>0.1496744728134461</v>
      </c>
    </row>
    <row r="8" spans="1:6" x14ac:dyDescent="0.25">
      <c r="A8" t="s">
        <v>44</v>
      </c>
      <c r="B8" s="18">
        <f>B6*B7</f>
        <v>613117617.60003</v>
      </c>
      <c r="C8" s="18">
        <f>C6*C7</f>
        <v>652008977.3271405</v>
      </c>
      <c r="D8" s="18">
        <f>D6*D7</f>
        <v>693367299.0498043</v>
      </c>
      <c r="E8" s="18">
        <f>E6*E7</f>
        <v>737349067.4353155</v>
      </c>
      <c r="F8" s="18">
        <f>F6*F7</f>
        <v>784120693.3075695</v>
      </c>
    </row>
    <row r="9" spans="1:6" x14ac:dyDescent="0.25">
      <c r="A9" t="s">
        <v>45</v>
      </c>
      <c r="B9" s="18">
        <f>B8*(1-Assumptions!B8)</f>
        <v>462271219.6190702</v>
      </c>
      <c r="C9" s="18">
        <f>C8*(1-Assumptions!B8)</f>
        <v>491594070.206971</v>
      </c>
      <c r="D9" s="18">
        <f>D8*(1-Assumptions!B8)</f>
        <v>522776931.82326514</v>
      </c>
      <c r="E9" s="18">
        <f>E8*(1-Assumptions!B8)</f>
        <v>555937788.9393252</v>
      </c>
      <c r="F9" s="18">
        <f>F8*(1-Assumptions!B8)</f>
        <v>591202110.0334849</v>
      </c>
    </row>
    <row r="10" spans="1:6" x14ac:dyDescent="0.25">
      <c r="A10" t="s">
        <v>46</v>
      </c>
      <c r="B10" s="18">
        <f>B6*Assumptions!B9</f>
        <v>402309411.7025262</v>
      </c>
      <c r="C10" s="18">
        <f>C6*Assumptions!B9</f>
        <v>427828756.77267903</v>
      </c>
      <c r="D10" s="18">
        <f>D6*Assumptions!B9</f>
        <v>454966848.3942823</v>
      </c>
      <c r="E10" s="18">
        <f>E6*Assumptions!B9</f>
        <v>483826367.11774313</v>
      </c>
      <c r="F10" s="18">
        <f>F6*Assumptions!B9</f>
        <v>514516506.74004364</v>
      </c>
    </row>
    <row r="11" spans="1:6" x14ac:dyDescent="0.25">
      <c r="A11" t="s">
        <v>47</v>
      </c>
      <c r="B11" s="18">
        <f>-B6*Assumptions!B10</f>
        <v>-285696365.9700607</v>
      </c>
      <c r="C11" s="18">
        <f>-C6*Assumptions!B10</f>
        <v>-303818696.5355448</v>
      </c>
      <c r="D11" s="18">
        <f>-D6*Assumptions!B10</f>
        <v>-323090565.2269675</v>
      </c>
      <c r="E11" s="18">
        <f>-E6*Assumptions!B10</f>
        <v>-343584889.7023646</v>
      </c>
      <c r="F11" s="18">
        <f>-F6*Assumptions!B10</f>
        <v>-365379212.9425285</v>
      </c>
    </row>
    <row r="12" spans="1:6" x14ac:dyDescent="0.25">
      <c r="A12" t="s">
        <v>48</v>
      </c>
      <c r="B12" s="18">
        <f>-(B6-Assumptions!B29)*Assumptions!B11</f>
        <v>-28516407.39942397</v>
      </c>
      <c r="C12" s="18">
        <f>-(C6-B6)*Assumptions!B11</f>
        <v>-30325264.014304906</v>
      </c>
      <c r="D12" s="18">
        <f>-(D6-C6)*Assumptions!B11</f>
        <v>-32248860.26687469</v>
      </c>
      <c r="E12" s="18">
        <f>-(E6-D6)*Assumptions!B11</f>
        <v>-34294474.33736534</v>
      </c>
      <c r="F12" s="18">
        <f>-(F6-E6)*Assumptions!B11</f>
        <v>-36469846.07652277</v>
      </c>
    </row>
    <row r="13" spans="1:6" x14ac:dyDescent="0.25">
      <c r="A13" s="19" t="s">
        <v>49</v>
      </c>
      <c r="B13" s="20">
        <f>B9+B10+B11+B12</f>
        <v>550367857.9521117</v>
      </c>
      <c r="C13" s="20">
        <f>C9+C10+C11+C12</f>
        <v>585278866.4298003</v>
      </c>
      <c r="D13" s="20">
        <f>D9+D10+D11+D12</f>
        <v>622404354.7237052</v>
      </c>
      <c r="E13" s="20">
        <f>E9+E10+E11+E12</f>
        <v>661884792.0173383</v>
      </c>
      <c r="F13" s="20">
        <f>F9+F10+F11+F12</f>
        <v>703869557.7544773</v>
      </c>
    </row>
    <row r="14" spans="1:6" x14ac:dyDescent="0.25">
      <c r="A14" t="s">
        <v>50</v>
      </c>
      <c r="B14" s="21">
        <f>1/(1+Assumptions!$B$26)^(1-0.5*Assumptions!$B$32)</f>
        <v>0.9618875426832886</v>
      </c>
      <c r="C14" s="21">
        <f>1/(1+Assumptions!$B$26)^(2-0.5*Assumptions!$B$32)</f>
        <v>0.889964945649784</v>
      </c>
      <c r="D14" s="21">
        <f>1/(1+Assumptions!$B$26)^(3-0.5*Assumptions!$B$32)</f>
        <v>0.8234201705907835</v>
      </c>
      <c r="E14" s="21">
        <f>1/(1+Assumptions!$B$26)^(4-0.5*Assumptions!$B$32)</f>
        <v>0.7618511050912421</v>
      </c>
      <c r="F14" s="21">
        <f>1/(1+Assumptions!$B$26)^(5-0.5*Assumptions!$B$32)</f>
        <v>0.7048857036284548</v>
      </c>
    </row>
    <row r="15" spans="1:6" x14ac:dyDescent="0.25">
      <c r="A15" s="19" t="s">
        <v>51</v>
      </c>
      <c r="B15" s="20">
        <f>B13*B14</f>
        <v>529391986.45742196</v>
      </c>
      <c r="C15" s="20">
        <f>C13*C14</f>
        <v>520877674.5521644</v>
      </c>
      <c r="D15" s="20">
        <f>D13*D14</f>
        <v>512500299.94303983</v>
      </c>
      <c r="E15" s="20">
        <f>E13*E14</f>
        <v>504257660.2414961</v>
      </c>
      <c r="F15" s="20">
        <f>F13*F14</f>
        <v>496147588.48041403</v>
      </c>
    </row>
    <row r="17" spans="1:2" x14ac:dyDescent="0.25">
      <c r="A17" s="22" t="s">
        <v>52</v>
      </c>
      <c r="B17" s="23">
        <f>SUM(B15:F15)</f>
        <v>2563175209.674536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703869557.7544773</v>
      </c>
    </row>
    <row r="5" spans="1:2" x14ac:dyDescent="0.25">
      <c r="A5" t="s">
        <v>56</v>
      </c>
      <c r="B5" s="18">
        <f>IF(Assumptions!$B$33=0,B4,B4-Forecast!F11-Forecast!F10-Forecast!F12)</f>
        <v>591202110.0334849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0.30934816815471855</v>
      </c>
    </row>
    <row r="7" spans="1:2" x14ac:dyDescent="0.25">
      <c r="A7" t="s">
        <v>58</v>
      </c>
      <c r="B7" s="18">
        <f>-MAX(Forecast!F9,0)*B6</f>
        <v>-182887289.7480629</v>
      </c>
    </row>
    <row r="8" spans="1:2" x14ac:dyDescent="0.25">
      <c r="A8" t="s">
        <v>59</v>
      </c>
      <c r="B8" s="18">
        <f>IF(OR(Assumptions!$B$33=0,Assumptions!B12&lt;=0),B5,MAX(B5+B7,0))</f>
        <v>408314820.285422</v>
      </c>
    </row>
    <row r="9" spans="1:2" x14ac:dyDescent="0.25">
      <c r="A9" t="s">
        <v>60</v>
      </c>
      <c r="B9" s="18">
        <f>B8*(1+Assumptions!B12)/(Assumptions!B26-Assumptions!B12)</f>
        <v>7498378879.670579</v>
      </c>
    </row>
    <row r="10" spans="1:2" x14ac:dyDescent="0.25">
      <c r="A10" t="s">
        <v>61</v>
      </c>
      <c r="B10" s="18">
        <f>B9/(1+Assumptions!B26)^(5-0.5*Assumptions!B32)</f>
        <v>5285500072.669341</v>
      </c>
    </row>
    <row r="11" spans="1:2" x14ac:dyDescent="0.25">
      <c r="A11" t="s">
        <v>62</v>
      </c>
      <c r="B11" s="18">
        <f>Forecast!B17+B10</f>
        <v>7848675282.343878</v>
      </c>
    </row>
    <row r="12" spans="1:2" x14ac:dyDescent="0.25">
      <c r="A12" t="s">
        <v>63</v>
      </c>
      <c r="B12" s="18">
        <f>-Assumptions!B30</f>
        <v>-1523000000</v>
      </c>
    </row>
    <row r="13" spans="1:2" x14ac:dyDescent="0.25">
      <c r="A13" t="s">
        <v>64</v>
      </c>
      <c r="B13" s="18">
        <f>B11+B12</f>
        <v>6325675282.343878</v>
      </c>
    </row>
    <row r="14" spans="1:2" x14ac:dyDescent="0.25">
      <c r="A14" s="19" t="s">
        <v>65</v>
      </c>
      <c r="B14" s="24">
        <f>B13/Assumptions!B31</f>
        <v>2.401416814481805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1298637200.0476131</v>
      </c>
    </row>
    <row r="18" spans="1:2" x14ac:dyDescent="0.25">
      <c r="A18" t="s">
        <v>60</v>
      </c>
      <c r="B18" s="18">
        <f>B17*Assumptions!B13</f>
        <v>15875967882.110987</v>
      </c>
    </row>
    <row r="19" spans="1:2" x14ac:dyDescent="0.25">
      <c r="A19" t="s">
        <v>61</v>
      </c>
      <c r="B19" s="18">
        <f>B18/(1+Assumptions!B26)^(5-0.5*Assumptions!B32)</f>
        <v>11190742791.364553</v>
      </c>
    </row>
    <row r="20" spans="1:2" x14ac:dyDescent="0.25">
      <c r="A20" t="s">
        <v>62</v>
      </c>
      <c r="B20" s="18">
        <f>Forecast!B17+B19</f>
        <v>13753918001.03909</v>
      </c>
    </row>
    <row r="21" spans="1:2" x14ac:dyDescent="0.25">
      <c r="A21" t="s">
        <v>63</v>
      </c>
      <c r="B21" s="18">
        <f>-Assumptions!B30</f>
        <v>-1523000000</v>
      </c>
    </row>
    <row r="22" spans="1:2" x14ac:dyDescent="0.25">
      <c r="A22" t="s">
        <v>64</v>
      </c>
      <c r="B22" s="18">
        <f>B20+B21</f>
        <v>12230918001.03909</v>
      </c>
    </row>
    <row r="23" spans="1:2" x14ac:dyDescent="0.25">
      <c r="A23" s="19" t="s">
        <v>65</v>
      </c>
      <c r="B23" s="25">
        <f>B22/Assumptions!B31</f>
        <v>4.643224767832266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5.61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2.401416814481805</v>
      </c>
    </row>
    <row r="29" spans="1:2" x14ac:dyDescent="0.25">
      <c r="A29" s="19" t="s">
        <v>73</v>
      </c>
      <c r="B29" s="12">
        <f>B28/B26-1</f>
        <v>-0.5719399617679493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0.060815</v>
      </c>
      <c r="B5" s="31">
        <v>3.313062366702468</v>
      </c>
      <c r="C5" s="31">
        <v>3.32720979453412</v>
      </c>
      <c r="D5" s="31">
        <v>3.3413572223657715</v>
      </c>
      <c r="E5" s="31">
        <v>3.3555046501974246</v>
      </c>
      <c r="F5" s="31">
        <v>3.3696520780290755</v>
      </c>
    </row>
    <row r="6" spans="1:6" x14ac:dyDescent="0.25">
      <c r="A6" s="30">
        <v>0.070815</v>
      </c>
      <c r="B6" s="31">
        <v>2.78195290192553</v>
      </c>
      <c r="C6" s="31">
        <v>2.793600231522045</v>
      </c>
      <c r="D6" s="31">
        <v>2.805247561118559</v>
      </c>
      <c r="E6" s="31">
        <v>2.8168948907150737</v>
      </c>
      <c r="F6" s="31">
        <v>2.828542220311588</v>
      </c>
    </row>
    <row r="7" spans="1:6" x14ac:dyDescent="0.25">
      <c r="A7" s="30">
        <v>0.080815</v>
      </c>
      <c r="B7" s="31">
        <v>2.3818440149436952</v>
      </c>
      <c r="C7" s="31">
        <v>2.391632005013915</v>
      </c>
      <c r="D7" s="32">
        <v>2.401419995084134</v>
      </c>
      <c r="E7" s="31">
        <v>2.4112079851543538</v>
      </c>
      <c r="F7" s="31">
        <v>2.4209959752245735</v>
      </c>
    </row>
    <row r="8" spans="1:6" x14ac:dyDescent="0.25">
      <c r="A8" s="30">
        <v>0.090815</v>
      </c>
      <c r="B8" s="31">
        <v>2.0694863358207094</v>
      </c>
      <c r="C8" s="31">
        <v>2.0778429257094375</v>
      </c>
      <c r="D8" s="31">
        <v>2.0861995155981647</v>
      </c>
      <c r="E8" s="31">
        <v>2.0945561054868933</v>
      </c>
      <c r="F8" s="31">
        <v>2.102912695375621</v>
      </c>
    </row>
    <row r="9" spans="1:6" x14ac:dyDescent="0.25">
      <c r="A9" s="30">
        <v>0.100815</v>
      </c>
      <c r="B9" s="31">
        <v>1.8187886875602703</v>
      </c>
      <c r="C9" s="31">
        <v>1.8260135062667098</v>
      </c>
      <c r="D9" s="31">
        <v>1.8332383249731485</v>
      </c>
      <c r="E9" s="31">
        <v>1.8404631436795875</v>
      </c>
      <c r="F9" s="31">
        <v>1.8476879623860263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3852000000</v>
      </c>
      <c r="C5" s="18">
        <v>4794000000</v>
      </c>
      <c r="D5" s="18">
        <v>4831000000</v>
      </c>
      <c r="E5" s="18">
        <v>3203000000</v>
      </c>
      <c r="F5" s="8" t="s">
        <v>84</v>
      </c>
    </row>
    <row r="6" spans="1:6" x14ac:dyDescent="0.25">
      <c r="A6" t="s">
        <v>44</v>
      </c>
      <c r="B6" s="18">
        <v>805000000</v>
      </c>
      <c r="C6" s="18">
        <v>710000000</v>
      </c>
      <c r="D6" s="18">
        <v>395000000</v>
      </c>
      <c r="E6" s="18">
        <v>512000000</v>
      </c>
      <c r="F6" s="8" t="s">
        <v>85</v>
      </c>
    </row>
    <row r="7" spans="1:6" x14ac:dyDescent="0.25">
      <c r="A7" t="s">
        <v>86</v>
      </c>
      <c r="B7" s="18">
        <v>535000000</v>
      </c>
      <c r="C7" s="18">
        <v>446000000</v>
      </c>
      <c r="D7" s="18">
        <v>334000000</v>
      </c>
      <c r="E7" s="18">
        <v>294000000</v>
      </c>
      <c r="F7" s="8" t="s">
        <v>87</v>
      </c>
    </row>
    <row r="8" spans="1:6" x14ac:dyDescent="0.25">
      <c r="A8" t="s">
        <v>88</v>
      </c>
      <c r="B8" s="18">
        <v>264000000</v>
      </c>
      <c r="C8" s="18">
        <v>184000000</v>
      </c>
      <c r="D8" s="18">
        <v>335000000</v>
      </c>
      <c r="E8" s="18">
        <v>329000000</v>
      </c>
      <c r="F8" s="8" t="s">
        <v>89</v>
      </c>
    </row>
    <row r="9" spans="1:6" x14ac:dyDescent="0.25">
      <c r="A9" t="s">
        <v>90</v>
      </c>
      <c r="B9" s="18">
        <v>-55000000</v>
      </c>
      <c r="C9" s="18">
        <v>-134000000</v>
      </c>
      <c r="D9" s="18">
        <v>190000000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2035000000</v>
      </c>
      <c r="C10" s="18">
        <v>1569000000</v>
      </c>
      <c r="D10" s="18">
        <v>1377000000</v>
      </c>
      <c r="E10" s="18">
        <v>1263000000</v>
      </c>
      <c r="F10" s="8" t="s">
        <v>93</v>
      </c>
    </row>
    <row r="11" spans="1:6" x14ac:dyDescent="0.25">
      <c r="A11" t="s">
        <v>94</v>
      </c>
      <c r="B11" s="18">
        <v>512000000</v>
      </c>
      <c r="C11" s="18">
        <v>123000000</v>
      </c>
      <c r="D11" s="18">
        <v>221000000</v>
      </c>
      <c r="E11" s="18">
        <v>212000000</v>
      </c>
      <c r="F11" s="8" t="s">
        <v>95</v>
      </c>
    </row>
    <row r="12" spans="1:6" x14ac:dyDescent="0.25">
      <c r="A12" t="s">
        <v>32</v>
      </c>
      <c r="B12" s="34">
        <v>2634142996</v>
      </c>
      <c r="C12" s="34">
        <v>2604161774</v>
      </c>
      <c r="D12" s="34">
        <v>2587596787</v>
      </c>
      <c r="E12" s="34">
        <v>2581801567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2026-09-19T00:08:38Z</dcterms:modified>
</cp:coreProperties>
</file>