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<sst xmlns="http://schemas.openxmlformats.org/spreadsheetml/2006/main" count="120" uniqueCount="107">
  <si>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Meta Platforms, Inc. (META)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</si>
  <si>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</si>
  <si>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</si>
  <si>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</si>
  <si>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</si>
  <si>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</si>
  <si>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</si>
  <si>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</si>
  <si>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</si>
  <si>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</si>
  <si>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</si>
  <si>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</si>
  <si>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</si>
  <si>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</si>
  <si>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</si>
  <si>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</si>
  <si>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</si>
  <si>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</si>
  <si>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</si>
  <si>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</si>
  <si>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</si>
  <si>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</si>
  <si>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</si>
  <si>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</si>
  <si>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71.5x interest cover. Book interest / average debt was lower, at 1.8%.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</si>
  <si>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</si>
  <si>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</si>
  <si>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</si>
  <si>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</si>
  <si>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</si>
  <si>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</si>
  <si>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</si>
  <si>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</si>
  <si>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</si>
  <si>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</si>
  <si>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</si>
  <si>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</si>
  <si>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</si>
  <si>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</si>
  <si>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</si>
  <si>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</si>
  <si>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</si>
  <si>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</si>
  <si>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</si>
  <si>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</si>
  <si>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</si>
  <si>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</si>
  <si>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</si>
  <si>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</si>
  <si>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</si>
  <si>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</si>
  <si>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</si>
  <si>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</si>
  <si>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</si>
  <si>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</si>
  <si>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</si>
  <si>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</si>
  <si>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</si>
  <si>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</si>
  <si>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</si>
  <si>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</si>
  <si>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</si>
  <si>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</si>
  <si>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</si>
  <si>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</si>
  <si>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</si>
  <si>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</si>
  <si>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</si>
  <si>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</si>
  <si>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</si>
  <si>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</si>
  <si>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</si>
  <si>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</si>
  <si>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</si>
  <si>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</si>
  <si>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</si>
  <si>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</si>
  <si>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</si>
  <si>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</si>
  <si>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</si>
  <si>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</si>
  <si>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</si>
  <si>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</si>
  <si>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</si>
  <si>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</si>
  <si>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</si>
  <si>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</si>
  <si>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</si>
  <si>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</si>
  <si>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</si>
  <si>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</si>
  <si>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</si>
  <si>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</si>
  <si>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</si>
  <si>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</si>
  <si>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</si>
  <si>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</si>
  <si>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</si>
  <si>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</si>
  <si>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</si>
  <si>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</si>
  <si>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</si>
  <si>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</si>
  <si>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</si>
  <si>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</si>
  <si>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26.0% of revenue against depreciation of 8.6%.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</si>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</sst>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0.2782049511857727</v>
      </c>
    </row>
    <row r="7" spans="1:2" x14ac:dyDescent="0.25">
      <c r="A7" t="s">
        <v>4</v>
      </c>
      <c r="B7" s="5">
        <v>0.35772707501600826</v>
      </c>
    </row>
    <row r="8" spans="1:2" x14ac:dyDescent="0.25">
      <c r="A8" t="s">
        <v>5</v>
      </c>
      <c r="B8" s="5">
        <v>0.18530509158634653</v>
      </c>
    </row>
    <row r="9" spans="1:2" x14ac:dyDescent="0.25">
      <c r="A9" t="s">
        <v>6</v>
      </c>
      <c r="B9" s="5">
        <v>0.08604829380860707</v>
      </c>
    </row>
    <row r="10" spans="1:3" x14ac:dyDescent="0.25">
      <c r="A10" t="s">
        <v>7</v>
      </c>
      <c r="B10" s="5">
        <v>0.26029463711358075</v>
      </c>
      <c r="C10" s="6" t="s">
        <v>8</v>
      </c>
    </row>
    <row r="11" spans="1:2" x14ac:dyDescent="0.25">
      <c r="A11" t="s">
        <v>9</v>
      </c>
      <c r="B11" s="5">
        <v>0.0646322602791044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15.454910530836573</v>
      </c>
    </row>
    <row r="14" spans="1:3" x14ac:dyDescent="0.25">
      <c r="A14" t="s">
        <v>12</v>
      </c>
      <c r="B14" s="5">
        <v>0.23392139998617206</v>
      </c>
      <c r="C14" s="6" t="s">
        <v>13</v>
      </c>
    </row>
    <row r="15" spans="1:3" x14ac:dyDescent="0.25">
      <c r="A15" t="s">
        <v>14</v>
      </c>
      <c r="B15" s="5">
        <v>0.08604829380860707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1.12395</v>
      </c>
      <c r="C19" s="6" t="s">
        <v>21</v>
      </c>
    </row>
    <row r="20" spans="1:2" x14ac:dyDescent="0.25">
      <c r="A20" t="s">
        <v>22</v>
      </c>
      <c r="B20" s="9">
        <f>B17+B19*B18</f>
        <v>0.096483085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1572426743808</v>
      </c>
    </row>
    <row r="23" spans="1:2" x14ac:dyDescent="0.25">
      <c r="A23" t="s">
        <v>26</v>
      </c>
      <c r="B23" s="10">
        <v>83897000000</v>
      </c>
    </row>
    <row r="24" spans="1:2" x14ac:dyDescent="0.25">
      <c r="A24" t="s">
        <v>27</v>
      </c>
      <c r="B24" s="9">
        <f>B22/(B22+B23)</f>
        <v>0.9493474628292684</v>
      </c>
    </row>
    <row r="25" spans="1:2" x14ac:dyDescent="0.25">
      <c r="A25" t="s">
        <v>28</v>
      </c>
      <c r="B25" s="9">
        <f>1-B24</f>
        <v>0.05065253717073159</v>
      </c>
    </row>
    <row r="26" spans="1:2" x14ac:dyDescent="0.25">
      <c r="A26" t="s">
        <v>29</v>
      </c>
      <c r="B26" s="11">
        <f>B24*B20+B25*B21*(1-B8)</f>
        <v>0.09378061326779787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200966000000</v>
      </c>
      <c r="C29" s="6" t="s">
        <v>32</v>
      </c>
    </row>
    <row r="30" spans="1:2" x14ac:dyDescent="0.25">
      <c r="A30" t="s">
        <v>33</v>
      </c>
      <c r="B30" s="10">
        <v>2305000000</v>
      </c>
    </row>
    <row r="31" spans="1:2" x14ac:dyDescent="0.25">
      <c r="A31" t="s">
        <v>34</v>
      </c>
      <c r="B31" s="12">
        <v>2574000000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0.2782049511857727</v>
      </c>
      <c r="C5" s="5">
        <v>0.216196684191444</v>
      </c>
      <c r="D5" s="5">
        <v>0.1922970986675135</v>
      </c>
      <c r="E5" s="5">
        <v>0.168397513143583</v>
      </c>
      <c r="F5" s="5">
        <v>0.1444979276196525</v>
      </c>
      <c r="G5" s="5">
        <v>0.120598342095722</v>
      </c>
      <c r="H5" s="5">
        <v>0.0966987565717915</v>
      </c>
      <c r="I5" s="5">
        <v>0.07279917104786099</v>
      </c>
      <c r="J5" s="5">
        <v>0.048899585523930506</v>
      </c>
      <c r="K5" s="5">
        <v>0.024999999999999994</v>
      </c>
    </row>
    <row r="6" spans="1:11" x14ac:dyDescent="0.25">
      <c r="A6" t="s">
        <v>50</v>
      </c>
      <c r="B6" s="18">
        <f>Assumptions!B29*(1+B5)</f>
        <v>256875736220</v>
      </c>
      <c r="C6" s="18">
        <f>B6*(1+C5)</f>
        <v>312411418640</v>
      </c>
      <c r="D6" s="18">
        <f>C6*(1+D5)</f>
        <v>372487228035.0739</v>
      </c>
      <c r="E6" s="18">
        <f>D6*(1+E5)</f>
        <v>435213150913.9271</v>
      </c>
      <c r="F6" s="18">
        <f>E6*(1+F5)</f>
        <v>498100549293.80865</v>
      </c>
      <c r="G6" s="18">
        <f>F6*(1+G5)</f>
        <v>558170649735.6104</v>
      </c>
      <c r="H6" s="18">
        <f>G6*(1+H5)</f>
        <v>612145057519.9127</v>
      </c>
      <c r="I6" s="18">
        <f>H6*(1+I5)</f>
        <v>656708710268.4076</v>
      </c>
      <c r="J6" s="18">
        <f>I6*(1+J5)</f>
        <v>688821494010.4877</v>
      </c>
      <c r="K6" s="18">
        <f>J6*(1+K5)</f>
        <v>706042031360.7498</v>
      </c>
    </row>
    <row r="7" spans="1:11" x14ac:dyDescent="0.25">
      <c r="A7" t="s">
        <v>4</v>
      </c>
      <c r="B7" s="9">
        <f>Assumptions!B7</f>
        <v>0.35772707501600826</v>
      </c>
      <c r="C7" s="9">
        <f>Assumptions!B7</f>
        <v>0.35772707501600826</v>
      </c>
      <c r="D7" s="9">
        <f>Assumptions!B7</f>
        <v>0.35772707501600826</v>
      </c>
      <c r="E7" s="9">
        <f>Assumptions!B7</f>
        <v>0.35772707501600826</v>
      </c>
      <c r="F7" s="9">
        <f>Assumptions!B7</f>
        <v>0.35772707501600826</v>
      </c>
      <c r="G7" s="9">
        <f>Assumptions!B7</f>
        <v>0.35772707501600826</v>
      </c>
      <c r="H7" s="9">
        <f>Assumptions!B7</f>
        <v>0.35772707501600826</v>
      </c>
      <c r="I7" s="9">
        <f>Assumptions!B7</f>
        <v>0.35772707501600826</v>
      </c>
      <c r="J7" s="9">
        <f>Assumptions!B7</f>
        <v>0.35772707501600826</v>
      </c>
      <c r="K7" s="9">
        <f>Assumptions!B7</f>
        <v>0.35772707501600826</v>
      </c>
    </row>
    <row r="8" spans="1:11" x14ac:dyDescent="0.25">
      <c r="A8" t="s">
        <v>51</v>
      </c>
      <c r="B8" s="18">
        <f>B6*B7</f>
        <v>91891405760.56429</v>
      </c>
      <c r="C8" s="18">
        <f>C6*C7</f>
        <v>111758022991.68884</v>
      </c>
      <c r="D8" s="18">
        <f>D6*D7</f>
        <v>133248766565.80786</v>
      </c>
      <c r="E8" s="18">
        <f>E6*E7</f>
        <v>155687527484.93973</v>
      </c>
      <c r="F8" s="18">
        <f>F6*F7</f>
        <v>178184052562.7412</v>
      </c>
      <c r="G8" s="18">
        <f>G6*G7</f>
        <v>199672753889.70474</v>
      </c>
      <c r="H8" s="18">
        <f>H6*H7</f>
        <v>218980860912.1045</v>
      </c>
      <c r="I8" s="18">
        <f>I6*I7</f>
        <v>234922486061.85266</v>
      </c>
      <c r="J8" s="18">
        <f>J6*J7</f>
        <v>246410098260.5286</v>
      </c>
      <c r="K8" s="18">
        <f>K6*K7</f>
        <v>252570350717.04178</v>
      </c>
    </row>
    <row r="9" spans="1:11" x14ac:dyDescent="0.25">
      <c r="A9" t="s">
        <v>52</v>
      </c>
      <c r="B9" s="18">
        <f>B8*(1-Assumptions!B8)</f>
        <v>74863460400.10478</v>
      </c>
      <c r="C9" s="18">
        <f>C8*(1-Assumptions!B8)</f>
        <v>91048692305.70491</v>
      </c>
      <c r="D9" s="18">
        <f>D8*(1-Assumptions!B8)</f>
        <v>108557091673.56313</v>
      </c>
      <c r="E9" s="18">
        <f>E8*(1-Assumptions!B8)</f>
        <v>126837835945.49112</v>
      </c>
      <c r="F9" s="18">
        <f>F8*(1-Assumptions!B8)</f>
        <v>145165640383.37607</v>
      </c>
      <c r="G9" s="18">
        <f>G8*(1-Assumptions!B8)</f>
        <v>162672375942.87497</v>
      </c>
      <c r="H9" s="18">
        <f>H8*(1-Assumptions!B8)</f>
        <v>178402592425.12994</v>
      </c>
      <c r="I9" s="18">
        <f>I8*(1-Assumptions!B8)</f>
        <v>191390153266.46884</v>
      </c>
      <c r="J9" s="18">
        <f>J8*(1-Assumptions!B8)</f>
        <v>200749052434.5607</v>
      </c>
      <c r="K9" s="18">
        <f>K8*(1-Assumptions!B8)</f>
        <v>205767778745.42468</v>
      </c>
    </row>
    <row r="10" spans="1:11" x14ac:dyDescent="0.25">
      <c r="A10" t="s">
        <v>53</v>
      </c>
      <c r="B10" s="18">
        <f>B6*Assumptions!B9</f>
        <v>22103718822.56081</v>
      </c>
      <c r="C10" s="18">
        <f>C6*Assumptions!B9</f>
        <v>26882469540.298462</v>
      </c>
      <c r="D10" s="18">
        <f>D6*Assumptions!B9</f>
        <v>32051890437.91566</v>
      </c>
      <c r="E10" s="18">
        <f>E6*Assumptions!B9</f>
        <v>37449349079.21125</v>
      </c>
      <c r="F10" s="18">
        <f>F6*Assumptions!B9</f>
        <v>42860702411.86221</v>
      </c>
      <c r="G10" s="18">
        <f>G6*Assumptions!B9</f>
        <v>48029632063.7909</v>
      </c>
      <c r="H10" s="18">
        <f>H6*Assumptions!B9</f>
        <v>52674037762.96012</v>
      </c>
      <c r="I10" s="18">
        <f>I6*Assumptions!B9</f>
        <v>56508664047.84735</v>
      </c>
      <c r="J10" s="18">
        <f>J6*Assumptions!B9</f>
        <v>59271914298.29812</v>
      </c>
      <c r="K10" s="18">
        <f>K6*Assumptions!B9</f>
        <v>60753712155.75556</v>
      </c>
    </row>
    <row r="11" spans="1:11" x14ac:dyDescent="0.25">
      <c r="A11" t="s">
        <v>54</v>
      </c>
      <c r="B11" s="18">
        <f>-B6*B19</f>
        <v>-66863376542.66879</v>
      </c>
      <c r="C11" s="18">
        <f>-C6*C19</f>
        <v>-76351699689.73418</v>
      </c>
      <c r="D11" s="18">
        <f>-D6*D19</f>
        <v>-85111392185.97353</v>
      </c>
      <c r="E11" s="18">
        <f>-E6*E19</f>
        <v>-92524083863.32014</v>
      </c>
      <c r="F11" s="18">
        <f>-F6*F19</f>
        <v>-97973862407.13339</v>
      </c>
      <c r="G11" s="18">
        <f>-G6*G19</f>
        <v>-100914478047.5895</v>
      </c>
      <c r="H11" s="18">
        <f>-H6*H19</f>
        <v>-100939723992.25572</v>
      </c>
      <c r="I11" s="18">
        <f>-I6*I19</f>
        <v>-97846435024.03334</v>
      </c>
      <c r="J11" s="18">
        <f>-J6*J19</f>
        <v>-91678877187.73253</v>
      </c>
      <c r="K11" s="18">
        <f>-K6*K19</f>
        <v>-82744835964.60634</v>
      </c>
    </row>
    <row r="12" spans="1:11" x14ac:dyDescent="0.25">
      <c r="A12" t="s">
        <v>55</v>
      </c>
      <c r="B12" s="18">
        <f>-(B6-Assumptions!B29)*Assumptions!B11</f>
        <v>-3613572623.5071106</v>
      </c>
      <c r="C12" s="18">
        <f>-(C6-B6)*Assumptions!B11</f>
        <v>-3589396680.9471226</v>
      </c>
      <c r="D12" s="18">
        <f>-(D6-C6)*Assumptions!B11</f>
        <v>-3882835349.300283</v>
      </c>
      <c r="E12" s="18">
        <f>-(E6-D6)*Assumptions!B11</f>
        <v>-4054118173.7530704</v>
      </c>
      <c r="F12" s="18">
        <f>-(F6-E6)*Assumptions!B11</f>
        <v>-4064554700.3642316</v>
      </c>
      <c r="G12" s="18">
        <f>-(G6-F6)*Assumptions!B11</f>
        <v>-3882466366.746472</v>
      </c>
      <c r="H12" s="18">
        <f>-(H6-G6)*Assumptions!B11</f>
        <v>-3488487972.3255496</v>
      </c>
      <c r="I12" s="18">
        <f>-(I6-H6)*Assumptions!B11</f>
        <v>-2880249603.428347</v>
      </c>
      <c r="J12" s="18">
        <f>-(J6-I6)*Assumptions!B11</f>
        <v>-2075521797.104712</v>
      </c>
      <c r="K12" s="18">
        <f>-(K6-J6)*Assumptions!B11</f>
        <v>-1113002252.1681778</v>
      </c>
    </row>
    <row r="13" spans="1:11" x14ac:dyDescent="0.25">
      <c r="A13" s="19" t="s">
        <v>56</v>
      </c>
      <c r="B13" s="20">
        <f>B9+B10+B11+B12</f>
        <v>26490230056.489685</v>
      </c>
      <c r="C13" s="20">
        <f>C9+C10+C11+C12</f>
        <v>37990065475.322075</v>
      </c>
      <c r="D13" s="20">
        <f>D9+D10+D11+D12</f>
        <v>51614754576.20498</v>
      </c>
      <c r="E13" s="20">
        <f>E9+E10+E11+E12</f>
        <v>67708982987.62915</v>
      </c>
      <c r="F13" s="20">
        <f>F9+F10+F11+F12</f>
        <v>85987925687.74066</v>
      </c>
      <c r="G13" s="20">
        <f>G9+G10+G11+G12</f>
        <v>105905063592.3299</v>
      </c>
      <c r="H13" s="20">
        <f>H9+H10+H11+H12</f>
        <v>126648418223.50879</v>
      </c>
      <c r="I13" s="20">
        <f>I9+I10+I11+I12</f>
        <v>147172132686.8545</v>
      </c>
      <c r="J13" s="20">
        <f>J9+J10+J11+J12</f>
        <v>166266567748.02158</v>
      </c>
      <c r="K13" s="20">
        <f>K9+K10+K11+K12</f>
        <v>182663652684.40573</v>
      </c>
    </row>
    <row r="14" spans="1:11" x14ac:dyDescent="0.25">
      <c r="A14" t="s">
        <v>57</v>
      </c>
      <c r="B14" s="21">
        <f>1/(1+Assumptions!$B$26)^(1-0.5*Assumptions!$B$32)</f>
        <v>0.9561695063162747</v>
      </c>
      <c r="C14" s="21">
        <f>1/(1+Assumptions!$B$26)^(2-0.5*Assumptions!$B$32)</f>
        <v>0.8741876521833808</v>
      </c>
      <c r="D14" s="21">
        <f>1/(1+Assumptions!$B$26)^(3-0.5*Assumptions!$B$32)</f>
        <v>0.7992349119917592</v>
      </c>
      <c r="E14" s="21">
        <f>1/(1+Assumptions!$B$26)^(4-0.5*Assumptions!$B$32)</f>
        <v>0.7307086103893825</v>
      </c>
      <c r="F14" s="21">
        <f>1/(1+Assumptions!$B$26)^(5-0.5*Assumptions!$B$32)</f>
        <v>0.6680577453336871</v>
      </c>
      <c r="G14" s="21">
        <f>1/(1+Assumptions!$B$26)^(6-0.5*Assumptions!$B$32)</f>
        <v>0.6107785576284683</v>
      </c>
      <c r="H14" s="21">
        <f>1/(1+Assumptions!$B$26)^(7-0.5*Assumptions!$B$32)</f>
        <v>0.5584104803281307</v>
      </c>
      <c r="I14" s="21">
        <f>1/(1+Assumptions!$B$26)^(8-0.5*Assumptions!$B$32)</f>
        <v>0.5105324354395109</v>
      </c>
      <c r="J14" s="21">
        <f>1/(1+Assumptions!$B$26)^(9-0.5*Assumptions!$B$32)</f>
        <v>0.4667594481440253</v>
      </c>
      <c r="K14" s="21">
        <f>1/(1+Assumptions!$B$26)^(10-0.5*Assumptions!$B$32)</f>
        <v>0.4267395513159871</v>
      </c>
    </row>
    <row r="15" spans="1:11" x14ac:dyDescent="0.25">
      <c r="A15" s="19" t="s">
        <v>58</v>
      </c>
      <c r="B15" s="20">
        <f>B13*B14</f>
        <v>25329150195.318283</v>
      </c>
      <c r="C15" s="20">
        <f>C13*C14</f>
        <v>33210446144.16472</v>
      </c>
      <c r="D15" s="20">
        <f>D13*D14</f>
        <v>41252313831.18944</v>
      </c>
      <c r="E15" s="20">
        <f>E13*E14</f>
        <v>49475536869.76884</v>
      </c>
      <c r="F15" s="20">
        <f>F13*F14</f>
        <v>57444899760.872665</v>
      </c>
      <c r="G15" s="20">
        <f>G13*G14</f>
        <v>64684541986.47447</v>
      </c>
      <c r="H15" s="20">
        <f>H13*H14</f>
        <v>70721804052.98752</v>
      </c>
      <c r="I15" s="20">
        <f>I13*I14</f>
        <v>75136147329.44667</v>
      </c>
      <c r="J15" s="20">
        <f>J13*J14</f>
        <v>77606491406.86775</v>
      </c>
      <c r="K15" s="20">
        <f>K13*K14</f>
        <v>77949805188.28261</v>
      </c>
    </row>
    <row r="17" spans="1:2" x14ac:dyDescent="0.25">
      <c r="A17" s="22" t="s">
        <v>59</v>
      </c>
      <c r="B17" s="23">
        <f>SUM(B15:K15)</f>
        <v>572811136765.373</v>
      </c>
    </row>
    <row r="19" spans="1:11" x14ac:dyDescent="0.25">
      <c r="A19" t="s">
        <v>7</v>
      </c>
      <c r="B19" s="9">
        <f>Assumptions!$B$10+($B$20-Assumptions!$B$10)*0/9</f>
        <v>0.26029463711358075</v>
      </c>
      <c r="C19" s="9">
        <f>Assumptions!$B$10+($B$20-Assumptions!$B$10)*1/9</f>
        <v>0.24439471521915235</v>
      </c>
      <c r="D19" s="9">
        <f>Assumptions!$B$10+($B$20-Assumptions!$B$10)*2/9</f>
        <v>0.22849479332472394</v>
      </c>
      <c r="E19" s="9">
        <f>Assumptions!$B$10+($B$20-Assumptions!$B$10)*3/9</f>
        <v>0.21259487143029554</v>
      </c>
      <c r="F19" s="9">
        <f>Assumptions!$B$10+($B$20-Assumptions!$B$10)*4/9</f>
        <v>0.19669494953586714</v>
      </c>
      <c r="G19" s="9">
        <f>Assumptions!$B$10+($B$20-Assumptions!$B$10)*5/9</f>
        <v>0.18079502764143873</v>
      </c>
      <c r="H19" s="9">
        <f>Assumptions!$B$10+($B$20-Assumptions!$B$10)*6/9</f>
        <v>0.16489510574701033</v>
      </c>
      <c r="I19" s="9">
        <f>Assumptions!$B$10+($B$20-Assumptions!$B$10)*7/9</f>
        <v>0.14899518385258192</v>
      </c>
      <c r="J19" s="9">
        <f>Assumptions!$B$10+($B$20-Assumptions!$B$10)*8/9</f>
        <v>0.13309526195815352</v>
      </c>
      <c r="K19" s="9">
        <f>Assumptions!$B$10+($B$20-Assumptions!$B$10)*9/9</f>
        <v>0.11719534006372512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0.11719534006372513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182663652684.40573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205767778745.42468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0.10687350538034503</v>
      </c>
    </row>
    <row r="7" spans="1:2" x14ac:dyDescent="0.25">
      <c r="A7" t="s">
        <v>66</v>
      </c>
      <c r="B7" s="18">
        <f>-MAX(B5,0)*B6</f>
        <v>-21991123808.85079</v>
      </c>
    </row>
    <row r="8" spans="1:2" x14ac:dyDescent="0.25">
      <c r="A8" t="s">
        <v>67</v>
      </c>
      <c r="B8" s="18">
        <f>IF(OR(Assumptions!$B$33=0,Assumptions!B12&lt;=0),B5,MAX(B5+B7,0))</f>
        <v>183776654936.57388</v>
      </c>
    </row>
    <row r="9" spans="1:2" x14ac:dyDescent="0.25">
      <c r="A9" t="s">
        <v>68</v>
      </c>
      <c r="B9" s="18">
        <f>B8*(1+Assumptions!B12)/(Assumptions!B26-Assumptions!B12)</f>
        <v>2738723346018.5063</v>
      </c>
    </row>
    <row r="10" spans="1:2" x14ac:dyDescent="0.25">
      <c r="A10" t="s">
        <v>69</v>
      </c>
      <c r="B10" s="18">
        <f>B9/(1+Assumptions!B26)^(10-0.5*Assumptions!B32)</f>
        <v>1168721571858.5564</v>
      </c>
    </row>
    <row r="11" spans="1:2" x14ac:dyDescent="0.25">
      <c r="A11" t="s">
        <v>70</v>
      </c>
      <c r="B11" s="18">
        <f>Forecast!B17+B10</f>
        <v>1741532708623.9294</v>
      </c>
    </row>
    <row r="12" spans="1:2" x14ac:dyDescent="0.25">
      <c r="A12" t="s">
        <v>71</v>
      </c>
      <c r="B12" s="18">
        <f>-Assumptions!B30</f>
        <v>-2305000000</v>
      </c>
    </row>
    <row r="13" spans="1:2" x14ac:dyDescent="0.25">
      <c r="A13" t="s">
        <v>72</v>
      </c>
      <c r="B13" s="18">
        <f>B11+B12</f>
        <v>1739227708623.9294</v>
      </c>
    </row>
    <row r="14" spans="1:2" x14ac:dyDescent="0.25">
      <c r="A14" s="19" t="s">
        <v>73</v>
      </c>
      <c r="B14" s="24">
        <f>B13/Assumptions!B31</f>
        <v>675.6906404910371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313324062872.79736</v>
      </c>
    </row>
    <row r="18" spans="1:2" x14ac:dyDescent="0.25">
      <c r="A18" t="s">
        <v>68</v>
      </c>
      <c r="B18" s="18">
        <f>B17*Assumptions!B13</f>
        <v>4842395358857.297</v>
      </c>
    </row>
    <row r="19" spans="1:2" x14ac:dyDescent="0.25">
      <c r="A19" t="s">
        <v>69</v>
      </c>
      <c r="B19" s="18">
        <f>B18/(1+Assumptions!B26)^(10-0.5*Assumptions!B32)</f>
        <v>2066441622733.3813</v>
      </c>
    </row>
    <row r="20" spans="1:2" x14ac:dyDescent="0.25">
      <c r="A20" t="s">
        <v>70</v>
      </c>
      <c r="B20" s="18">
        <f>Forecast!B17+B19</f>
        <v>2639252759498.7544</v>
      </c>
    </row>
    <row r="21" spans="1:2" x14ac:dyDescent="0.25">
      <c r="A21" t="s">
        <v>71</v>
      </c>
      <c r="B21" s="18">
        <f>-Assumptions!B30</f>
        <v>-2305000000</v>
      </c>
    </row>
    <row r="22" spans="1:2" x14ac:dyDescent="0.25">
      <c r="A22" t="s">
        <v>72</v>
      </c>
      <c r="B22" s="18">
        <f>B20+B21</f>
        <v>2636947759498.7544</v>
      </c>
    </row>
    <row r="23" spans="1:2" x14ac:dyDescent="0.25">
      <c r="A23" s="19" t="s">
        <v>73</v>
      </c>
      <c r="B23" s="25">
        <f>B22/Assumptions!B31</f>
        <v>1024.4552290204952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614.99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675.6906404910371</v>
      </c>
    </row>
    <row r="29" spans="1:2" x14ac:dyDescent="0.25">
      <c r="A29" s="19" t="s">
        <v>81</v>
      </c>
      <c r="B29" s="11">
        <f>B28/B26-1</f>
        <v>0.09870183334857008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0.073781</v>
      </c>
      <c r="B5" s="31">
        <v>913.3112950644979</v>
      </c>
      <c r="C5" s="31">
        <v>957.0054381256749</v>
      </c>
      <c r="D5" s="31">
        <v>1010.3883739133654</v>
      </c>
      <c r="E5" s="31">
        <v>1076.779622102718</v>
      </c>
      <c r="F5" s="31">
        <v>1161.2106333016316</v>
      </c>
    </row>
    <row r="6" spans="1:6" x14ac:dyDescent="0.25">
      <c r="A6" s="30">
        <v>0.083781</v>
      </c>
      <c r="B6" s="31">
        <v>756.5084832400454</v>
      </c>
      <c r="C6" s="31">
        <v>782.6531319676719</v>
      </c>
      <c r="D6" s="31">
        <v>813.8185080082867</v>
      </c>
      <c r="E6" s="31">
        <v>851.4049369358813</v>
      </c>
      <c r="F6" s="31">
        <v>897.3868717814448</v>
      </c>
    </row>
    <row r="7" spans="1:6" x14ac:dyDescent="0.25">
      <c r="A7" s="30">
        <v>0.093781</v>
      </c>
      <c r="B7" s="31">
        <v>640.7935376238246</v>
      </c>
      <c r="C7" s="31">
        <v>656.8419714556028</v>
      </c>
      <c r="D7" s="32">
        <v>675.6860986142282</v>
      </c>
      <c r="E7" s="31">
        <v>697.9834095733954</v>
      </c>
      <c r="F7" s="31">
        <v>724.615103309102</v>
      </c>
    </row>
    <row r="8" spans="1:6" x14ac:dyDescent="0.25">
      <c r="A8" s="30">
        <v>0.103781</v>
      </c>
      <c r="B8" s="31">
        <v>552.1987547176896</v>
      </c>
      <c r="C8" s="31">
        <v>562.1078028285635</v>
      </c>
      <c r="D8" s="31">
        <v>573.6562669918</v>
      </c>
      <c r="E8" s="31">
        <v>587.1774476612479</v>
      </c>
      <c r="F8" s="31">
        <v>603.1015617222852</v>
      </c>
    </row>
    <row r="9" spans="1:6" x14ac:dyDescent="0.25">
      <c r="A9" s="30">
        <v>0.113781</v>
      </c>
      <c r="B9" s="31">
        <v>482.41885628972244</v>
      </c>
      <c r="C9" s="31">
        <v>488.44165179628465</v>
      </c>
      <c r="D9" s="31">
        <v>495.46318466676996</v>
      </c>
      <c r="E9" s="31">
        <v>503.662267047833</v>
      </c>
      <c r="F9" s="31">
        <v>513.2631058251269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200966000000</v>
      </c>
      <c r="C5" s="18">
        <v>164501000000</v>
      </c>
      <c r="D5" s="18">
        <v>134902000000</v>
      </c>
      <c r="E5" s="18">
        <v>116609000000</v>
      </c>
      <c r="F5" s="6" t="s">
        <v>91</v>
      </c>
    </row>
    <row r="6" spans="1:6" x14ac:dyDescent="0.25">
      <c r="A6" t="s">
        <v>51</v>
      </c>
      <c r="B6" s="18">
        <v>83276000000</v>
      </c>
      <c r="C6" s="18">
        <v>69380000000</v>
      </c>
      <c r="D6" s="18">
        <v>46751000000</v>
      </c>
      <c r="E6" s="18">
        <v>28944000000</v>
      </c>
      <c r="F6" s="6" t="s">
        <v>92</v>
      </c>
    </row>
    <row r="7" spans="1:6" x14ac:dyDescent="0.25">
      <c r="A7" t="s">
        <v>93</v>
      </c>
      <c r="B7" s="18">
        <v>18616000000</v>
      </c>
      <c r="C7" s="18">
        <v>15498000000</v>
      </c>
      <c r="D7" s="18">
        <v>11178000000</v>
      </c>
      <c r="E7" s="18">
        <v>8686000000</v>
      </c>
      <c r="F7" s="6" t="s">
        <v>94</v>
      </c>
    </row>
    <row r="8" spans="1:6" x14ac:dyDescent="0.25">
      <c r="A8" t="s">
        <v>95</v>
      </c>
      <c r="B8" s="18">
        <v>69691000000</v>
      </c>
      <c r="C8" s="18">
        <v>37256000000</v>
      </c>
      <c r="D8" s="18">
        <v>27045000000</v>
      </c>
      <c r="E8" s="18">
        <v>31186000000</v>
      </c>
      <c r="F8" s="6" t="s">
        <v>96</v>
      </c>
    </row>
    <row r="9" spans="1:6" x14ac:dyDescent="0.25">
      <c r="A9" t="s">
        <v>97</v>
      </c>
      <c r="B9" s="18">
        <v>885000000</v>
      </c>
      <c r="C9" s="18">
        <v>-1048000000</v>
      </c>
      <c r="D9" s="18">
        <v>-3836000000</v>
      </c>
      <c r="E9" s="18">
        <v>-5683000000</v>
      </c>
      <c r="F9" s="6" t="s">
        <v>98</v>
      </c>
    </row>
    <row r="10" spans="1:6" x14ac:dyDescent="0.25">
      <c r="A10" t="s">
        <v>99</v>
      </c>
      <c r="B10" s="18">
        <v>83897000000</v>
      </c>
      <c r="C10" s="18">
        <v>49060000000</v>
      </c>
      <c r="D10" s="18">
        <v>37234000000</v>
      </c>
      <c r="E10" s="18">
        <v>26591000000</v>
      </c>
      <c r="F10" s="6" t="s">
        <v>100</v>
      </c>
    </row>
    <row r="11" spans="1:6" x14ac:dyDescent="0.25">
      <c r="A11" t="s">
        <v>101</v>
      </c>
      <c r="B11" s="18">
        <v>81592000000</v>
      </c>
      <c r="C11" s="18">
        <v>77815000000</v>
      </c>
      <c r="D11" s="18">
        <v>65403000000</v>
      </c>
      <c r="E11" s="18">
        <v>40738000000</v>
      </c>
      <c r="F11" s="6" t="s">
        <v>102</v>
      </c>
    </row>
    <row r="12" spans="1:6" x14ac:dyDescent="0.25">
      <c r="A12" t="s">
        <v>34</v>
      </c>
      <c r="B12" s="34">
        <v>2574000000</v>
      </c>
      <c r="C12" s="34">
        <v>2614000000</v>
      </c>
      <c r="D12" s="34">
        <v>2629000000</v>
      </c>
      <c r="E12" s="34">
        <v>2702000000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