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<sst xmlns="http://schemas.openxmlformats.org/spreadsheetml/2006/main" count="112" uniqueCount="100">
  <si>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Meta Platforms, Inc. (META)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</si>
  <si>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</si>
  <si>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</si>
  <si>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</si>
  <si>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</si>
  <si>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</si>
  <si>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</si>
  <si>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</si>
  <si>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</si>
  <si>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</si>
  <si>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</si>
  <si>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</si>
  <si>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</si>
  <si>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</si>
  <si>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</si>
  <si>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</si>
  <si>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</si>
  <si>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</si>
  <si>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</si>
  <si>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</si>
  <si>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</si>
  <si>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</si>
  <si>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</si>
  <si>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</si>
  <si>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</si>
  <si>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</si>
  <si>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</si>
  <si>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</si>
  <si>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</si>
  <si>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</si>
  <si>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</si>
  <si>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</si>
  <si>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</si>
  <si>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</si>
  <si>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</si>
  <si>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</si>
  <si>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</si>
  <si>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</si>
  <si>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</si>
  <si>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</si>
  <si>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</si>
  <si>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</si>
  <si>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</si>
  <si>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</si>
  <si>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</si>
  <si>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</si>
  <si>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</si>
  <si>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</si>
  <si>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</si>
  <si>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</si>
  <si>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</si>
  <si>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</si>
  <si>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</si>
  <si>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</si>
  <si>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</si>
  <si>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</si>
  <si>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</si>
  <si>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</si>
  <si>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</si>
  <si>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</si>
  <si>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</si>
  <si>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</si>
  <si>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</si>
  <si>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</si>
  <si>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</si>
  <si>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</si>
  <si>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</si>
  <si>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</si>
  <si>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</si>
  <si>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</si>
  <si>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</si>
  <si>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</si>
  <si>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</si>
  <si>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</si>
  <si>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</si>
  <si>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</si>
  <si>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</si>
  <si>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</si>
  <si>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</si>
  <si>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</si>
  <si>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</si>
  <si>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</si>
  <si>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</si>
  <si>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</si>
  <si>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</si>
  <si>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</si>
  <si>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</si>
  <si>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</si>
  <si>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</si>
  <si>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</si>
  <si>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</si>
  <si>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</si>
  <si>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</si>
  <si>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</si>
  <si>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</si>
  <si>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</si>
  <si>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</si>
  <si>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</si>
  <si>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26.0% of revenue against depreciation of 8.6%.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</si>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</sst>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0.19893831442939258</v>
      </c>
    </row>
    <row r="7" spans="1:2" x14ac:dyDescent="0.25">
      <c r="A7" t="s">
        <v>5</v>
      </c>
      <c r="B7" s="6">
        <v>0.35772707501600826</v>
      </c>
    </row>
    <row r="8" spans="1:2" x14ac:dyDescent="0.25">
      <c r="A8" t="s">
        <v>6</v>
      </c>
      <c r="B8" s="6">
        <v>0.18530509158634653</v>
      </c>
    </row>
    <row r="9" spans="1:2" x14ac:dyDescent="0.25">
      <c r="A9" t="s">
        <v>7</v>
      </c>
      <c r="B9" s="6">
        <v>0.08604829380860707</v>
      </c>
    </row>
    <row r="10" spans="1:2" x14ac:dyDescent="0.25">
      <c r="A10" t="s">
        <v>8</v>
      </c>
      <c r="B10" s="6">
        <v>0.26029463711358075</v>
      </c>
    </row>
    <row r="11" spans="1:2" x14ac:dyDescent="0.25">
      <c r="A11" t="s">
        <v>9</v>
      </c>
      <c r="B11" s="6">
        <v>-0.035406601574377514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16.66771887724257</v>
      </c>
    </row>
    <row r="14" spans="1:3" x14ac:dyDescent="0.25">
      <c r="A14" t="s">
        <v>12</v>
      </c>
      <c r="B14" s="6">
        <v>0.23392139998617206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1.1628100000000001</v>
      </c>
      <c r="C19" s="8" t="s">
        <v>19</v>
      </c>
    </row>
    <row r="20" spans="1:2" x14ac:dyDescent="0.25">
      <c r="A20" t="s">
        <v>20</v>
      </c>
      <c r="B20" s="10">
        <f>B17+B19*B18</f>
        <v>0.11393455000000002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1696002211840</v>
      </c>
    </row>
    <row r="23" spans="1:2" x14ac:dyDescent="0.25">
      <c r="A23" t="s">
        <v>24</v>
      </c>
      <c r="B23" s="11">
        <v>83897000000</v>
      </c>
    </row>
    <row r="24" spans="1:2" x14ac:dyDescent="0.25">
      <c r="A24" t="s">
        <v>25</v>
      </c>
      <c r="B24" s="10">
        <f>B22/(B22+B23)</f>
        <v>0.9528641849819856</v>
      </c>
    </row>
    <row r="25" spans="1:2" x14ac:dyDescent="0.25">
      <c r="A25" t="s">
        <v>26</v>
      </c>
      <c r="B25" s="10">
        <f>1-B24</f>
        <v>0.04713581501801445</v>
      </c>
    </row>
    <row r="26" spans="1:2" x14ac:dyDescent="0.25">
      <c r="A26" t="s">
        <v>27</v>
      </c>
      <c r="B26" s="12">
        <f>B24*B20+B25*B21*(1-B8)</f>
        <v>0.11048344952582453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200966000000</v>
      </c>
      <c r="C29" s="8" t="s">
        <v>30</v>
      </c>
    </row>
    <row r="30" spans="1:2" x14ac:dyDescent="0.25">
      <c r="A30" t="s">
        <v>31</v>
      </c>
      <c r="B30" s="11">
        <v>2305000000</v>
      </c>
    </row>
    <row r="31" spans="1:2" x14ac:dyDescent="0.25">
      <c r="A31" t="s">
        <v>32</v>
      </c>
      <c r="B31" s="13">
        <v>2574000000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0.19893831442939258</v>
      </c>
      <c r="C5" s="10">
        <f>Assumptions!B6</f>
        <v>0.19893831442939258</v>
      </c>
      <c r="D5" s="10">
        <f>Assumptions!B6</f>
        <v>0.19893831442939258</v>
      </c>
      <c r="E5" s="10">
        <f>Assumptions!B6</f>
        <v>0.19893831442939258</v>
      </c>
      <c r="F5" s="10">
        <f>Assumptions!B6</f>
        <v>0.19893831442939258</v>
      </c>
    </row>
    <row r="6" spans="1:6" x14ac:dyDescent="0.25">
      <c r="A6" t="s">
        <v>43</v>
      </c>
      <c r="B6" s="18">
        <f>Assumptions!B29*(1+B5)</f>
        <v>240945837297.6173</v>
      </c>
      <c r="C6" s="18">
        <f>B6*(1+C5)</f>
        <v>288879196038.384</v>
      </c>
      <c r="D6" s="18">
        <f>C6*(1+D5)</f>
        <v>346348336371.97815</v>
      </c>
      <c r="E6" s="18">
        <f>D6*(1+E5)</f>
        <v>415250290615.2438</v>
      </c>
      <c r="F6" s="18">
        <f>E6*(1+F5)</f>
        <v>497859483496.5558</v>
      </c>
    </row>
    <row r="7" spans="1:6" x14ac:dyDescent="0.25">
      <c r="A7" t="s">
        <v>5</v>
      </c>
      <c r="B7" s="10">
        <f>Assumptions!B7</f>
        <v>0.35772707501600826</v>
      </c>
      <c r="C7" s="10">
        <f>Assumptions!B7</f>
        <v>0.35772707501600826</v>
      </c>
      <c r="D7" s="10">
        <f>Assumptions!B7</f>
        <v>0.35772707501600826</v>
      </c>
      <c r="E7" s="10">
        <f>Assumptions!B7</f>
        <v>0.35772707501600826</v>
      </c>
      <c r="F7" s="10">
        <f>Assumptions!B7</f>
        <v>0.35772707501600826</v>
      </c>
    </row>
    <row r="8" spans="1:6" x14ac:dyDescent="0.25">
      <c r="A8" t="s">
        <v>44</v>
      </c>
      <c r="B8" s="18">
        <f>B6*B7</f>
        <v>86192849613.75967</v>
      </c>
      <c r="C8" s="18">
        <f>C6*C7</f>
        <v>103339909831.78714</v>
      </c>
      <c r="D8" s="18">
        <f>D6*D7</f>
        <v>123898177307.00829</v>
      </c>
      <c r="E8" s="18">
        <f>E6*E7</f>
        <v>148546271861.33853</v>
      </c>
      <c r="F8" s="18">
        <f>F6*F7</f>
        <v>178097816800.20352</v>
      </c>
    </row>
    <row r="9" spans="1:6" x14ac:dyDescent="0.25">
      <c r="A9" t="s">
        <v>45</v>
      </c>
      <c r="B9" s="18">
        <f>B8*(1-Assumptions!B8)</f>
        <v>70220875721.99374</v>
      </c>
      <c r="C9" s="18">
        <f>C8*(1-Assumptions!B8)</f>
        <v>84190498375.88303</v>
      </c>
      <c r="D9" s="18">
        <f>D8*(1-Assumptions!B8)</f>
        <v>100939214213.75171</v>
      </c>
      <c r="E9" s="18">
        <f>E8*(1-Assumptions!B8)</f>
        <v>121019891349.26286</v>
      </c>
      <c r="F9" s="18">
        <f>F8*(1-Assumptions!B8)</f>
        <v>145095384546.71344</v>
      </c>
    </row>
    <row r="10" spans="1:6" x14ac:dyDescent="0.25">
      <c r="A10" t="s">
        <v>46</v>
      </c>
      <c r="B10" s="18">
        <f>B6*Assumptions!B9</f>
        <v>20732978199.74621</v>
      </c>
      <c r="C10" s="18">
        <f>C6*Assumptions!B9</f>
        <v>24857561935.905064</v>
      </c>
      <c r="D10" s="18">
        <f>D6*Assumptions!B9</f>
        <v>29802683408.258247</v>
      </c>
      <c r="E10" s="18">
        <f>E6*Assumptions!B9</f>
        <v>35731579010.96996</v>
      </c>
      <c r="F10" s="18">
        <f>F6*Assumptions!B9</f>
        <v>42839959111.312996</v>
      </c>
    </row>
    <row r="11" spans="1:6" x14ac:dyDescent="0.25">
      <c r="A11" t="s">
        <v>47</v>
      </c>
      <c r="B11" s="18">
        <f>-B6*Assumptions!B10</f>
        <v>-62716909283.41117</v>
      </c>
      <c r="C11" s="18">
        <f>-C6*Assumptions!B10</f>
        <v>-75193705502.4741</v>
      </c>
      <c r="D11" s="18">
        <f>-D6*Assumptions!B10</f>
        <v>-90152614530.83646</v>
      </c>
      <c r="E11" s="18">
        <f>-E6*Assumptions!B10</f>
        <v>-108087423707.00383</v>
      </c>
      <c r="F11" s="18">
        <f>-F6*Assumptions!B10</f>
        <v>-129590153590.29073</v>
      </c>
    </row>
    <row r="12" spans="1:6" x14ac:dyDescent="0.25">
      <c r="A12" t="s">
        <v>48</v>
      </c>
      <c r="B12" s="18">
        <f>-(B6-Assumptions!B29)*Assumptions!B11</f>
        <v>1415550170.205174</v>
      </c>
      <c r="C12" s="18">
        <f>-(C6-B6)*Assumptions!B11</f>
        <v>1697157335.056031</v>
      </c>
      <c r="D12" s="18">
        <f>-(D6-C6)*Assumptions!B11</f>
        <v>2034786954.6135578</v>
      </c>
      <c r="E12" s="18">
        <f>-(E6-D6)*Assumptions!B11</f>
        <v>2439584041.587296</v>
      </c>
      <c r="F12" s="18">
        <f>-(F6-E6)*Assumptions!B11</f>
        <v>2924910778.7295175</v>
      </c>
    </row>
    <row r="13" spans="1:6" x14ac:dyDescent="0.25">
      <c r="A13" s="19" t="s">
        <v>49</v>
      </c>
      <c r="B13" s="20">
        <f>B9+B10+B11+B12</f>
        <v>29652494808.533962</v>
      </c>
      <c r="C13" s="20">
        <f>C9+C10+C11+C12</f>
        <v>35551512144.37001</v>
      </c>
      <c r="D13" s="20">
        <f>D9+D10+D11+D12</f>
        <v>42624070045.78705</v>
      </c>
      <c r="E13" s="20">
        <f>E9+E10+E11+E12</f>
        <v>51103630694.816284</v>
      </c>
      <c r="F13" s="20">
        <f>F9+F10+F11+F12</f>
        <v>61270100846.46522</v>
      </c>
    </row>
    <row r="14" spans="1:6" x14ac:dyDescent="0.25">
      <c r="A14" t="s">
        <v>50</v>
      </c>
      <c r="B14" s="21">
        <f>1/(1+Assumptions!$B$26)^(1-0.5*Assumptions!$B$32)</f>
        <v>0.9489513650564861</v>
      </c>
      <c r="C14" s="21">
        <f>1/(1+Assumptions!$B$26)^(2-0.5*Assumptions!$B$32)</f>
        <v>0.854538953697768</v>
      </c>
      <c r="D14" s="21">
        <f>1/(1+Assumptions!$B$26)^(3-0.5*Assumptions!$B$32)</f>
        <v>0.7695197565192489</v>
      </c>
      <c r="E14" s="21">
        <f>1/(1+Assumptions!$B$26)^(4-0.5*Assumptions!$B$32)</f>
        <v>0.6929592303674883</v>
      </c>
      <c r="F14" s="21">
        <f>1/(1+Assumptions!$B$26)^(5-0.5*Assumptions!$B$32)</f>
        <v>0.6240158110086029</v>
      </c>
    </row>
    <row r="15" spans="1:6" x14ac:dyDescent="0.25">
      <c r="A15" s="19" t="s">
        <v>51</v>
      </c>
      <c r="B15" s="20">
        <f>B13*B14</f>
        <v>28138775425.88867</v>
      </c>
      <c r="C15" s="20">
        <f>C13*C14</f>
        <v>30380151990.223442</v>
      </c>
      <c r="D15" s="20">
        <f>D13*D14</f>
        <v>32800064003.493458</v>
      </c>
      <c r="E15" s="20">
        <f>E13*E14</f>
        <v>35412732595.264244</v>
      </c>
      <c r="F15" s="20">
        <f>F13*F14</f>
        <v>38233511670.28588</v>
      </c>
    </row>
    <row r="17" spans="1:2" x14ac:dyDescent="0.25">
      <c r="A17" s="22" t="s">
        <v>52</v>
      </c>
      <c r="B17" s="23">
        <f>SUM(B15:F15)</f>
        <v>164965235685.1557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61270100846.46522</v>
      </c>
    </row>
    <row r="5" spans="1:2" x14ac:dyDescent="0.25">
      <c r="A5" t="s">
        <v>56</v>
      </c>
      <c r="B5" s="18">
        <f>IF(Assumptions!$B$33=0,B4,B4-Forecast!F11-Forecast!F10-Forecast!F12)</f>
        <v>145095384546.71344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0.10687350538034503</v>
      </c>
    </row>
    <row r="7" spans="1:2" x14ac:dyDescent="0.25">
      <c r="A7" t="s">
        <v>58</v>
      </c>
      <c r="B7" s="18">
        <f>-MAX(Forecast!F9,0)*B6</f>
        <v>-15506852361.016409</v>
      </c>
    </row>
    <row r="8" spans="1:2" x14ac:dyDescent="0.25">
      <c r="A8" t="s">
        <v>59</v>
      </c>
      <c r="B8" s="18">
        <f>IF(OR(Assumptions!$B$33=0,Assumptions!B12&lt;=0),B5,MAX(B5+B7,0))</f>
        <v>129588532185.69704</v>
      </c>
    </row>
    <row r="9" spans="1:2" x14ac:dyDescent="0.25">
      <c r="A9" t="s">
        <v>60</v>
      </c>
      <c r="B9" s="18">
        <f>B8*(1+Assumptions!B12)/(Assumptions!B26-Assumptions!B12)</f>
        <v>1553847513491.042</v>
      </c>
    </row>
    <row r="10" spans="1:2" x14ac:dyDescent="0.25">
      <c r="A10" t="s">
        <v>61</v>
      </c>
      <c r="B10" s="18">
        <f>B9/(1+Assumptions!B26)^(5-0.5*Assumptions!B32)</f>
        <v>969625416314.8136</v>
      </c>
    </row>
    <row r="11" spans="1:2" x14ac:dyDescent="0.25">
      <c r="A11" t="s">
        <v>62</v>
      </c>
      <c r="B11" s="18">
        <f>Forecast!B17+B10</f>
        <v>1134590651999.9692</v>
      </c>
    </row>
    <row r="12" spans="1:2" x14ac:dyDescent="0.25">
      <c r="A12" t="s">
        <v>63</v>
      </c>
      <c r="B12" s="18">
        <f>-Assumptions!B30</f>
        <v>-2305000000</v>
      </c>
    </row>
    <row r="13" spans="1:2" x14ac:dyDescent="0.25">
      <c r="A13" t="s">
        <v>64</v>
      </c>
      <c r="B13" s="18">
        <f>B11+B12</f>
        <v>1132285651999.9692</v>
      </c>
    </row>
    <row r="14" spans="1:2" x14ac:dyDescent="0.25">
      <c r="A14" s="19" t="s">
        <v>65</v>
      </c>
      <c r="B14" s="24">
        <f>B13/Assumptions!B31</f>
        <v>439.89341569540375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220937775911.5165</v>
      </c>
    </row>
    <row r="18" spans="1:2" x14ac:dyDescent="0.25">
      <c r="A18" t="s">
        <v>60</v>
      </c>
      <c r="B18" s="18">
        <f>B17*Assumptions!B13</f>
        <v>3682528738256.3726</v>
      </c>
    </row>
    <row r="19" spans="1:2" x14ac:dyDescent="0.25">
      <c r="A19" t="s">
        <v>61</v>
      </c>
      <c r="B19" s="18">
        <f>B18/(1+Assumptions!B26)^(5-0.5*Assumptions!B32)</f>
        <v>2297956157165.5376</v>
      </c>
    </row>
    <row r="20" spans="1:2" x14ac:dyDescent="0.25">
      <c r="A20" t="s">
        <v>62</v>
      </c>
      <c r="B20" s="18">
        <f>Forecast!B17+B19</f>
        <v>2462921392850.6934</v>
      </c>
    </row>
    <row r="21" spans="1:2" x14ac:dyDescent="0.25">
      <c r="A21" t="s">
        <v>63</v>
      </c>
      <c r="B21" s="18">
        <f>-Assumptions!B30</f>
        <v>-2305000000</v>
      </c>
    </row>
    <row r="22" spans="1:2" x14ac:dyDescent="0.25">
      <c r="A22" t="s">
        <v>64</v>
      </c>
      <c r="B22" s="18">
        <f>B20+B21</f>
        <v>2460616392850.6934</v>
      </c>
    </row>
    <row r="23" spans="1:2" x14ac:dyDescent="0.25">
      <c r="A23" s="19" t="s">
        <v>65</v>
      </c>
      <c r="B23" s="25">
        <f>B22/Assumptions!B31</f>
        <v>955.9504245729189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665.75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439.89341569540375</v>
      </c>
    </row>
    <row r="29" spans="1:2" x14ac:dyDescent="0.25">
      <c r="A29" s="19" t="s">
        <v>73</v>
      </c>
      <c r="B29" s="12">
        <f>B28/B26-1</f>
        <v>-0.33925134705910065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0.090483</v>
      </c>
      <c r="B5" s="31">
        <v>546.7727188313379</v>
      </c>
      <c r="C5" s="31">
        <v>571.5775910765171</v>
      </c>
      <c r="D5" s="31">
        <v>600.045846001405</v>
      </c>
      <c r="E5" s="31">
        <v>633.08601559343</v>
      </c>
      <c r="F5" s="31">
        <v>671.9341310694886</v>
      </c>
    </row>
    <row r="6" spans="1:6" x14ac:dyDescent="0.25">
      <c r="A6" s="30">
        <v>0.100483</v>
      </c>
      <c r="B6" s="31">
        <v>471.8775711141855</v>
      </c>
      <c r="C6" s="31">
        <v>489.37544362679444</v>
      </c>
      <c r="D6" s="31">
        <v>509.08769121137743</v>
      </c>
      <c r="E6" s="31">
        <v>531.485571136774</v>
      </c>
      <c r="F6" s="31">
        <v>557.1842733776679</v>
      </c>
    </row>
    <row r="7" spans="1:6" x14ac:dyDescent="0.25">
      <c r="A7" s="30">
        <v>0.110483</v>
      </c>
      <c r="B7" s="31">
        <v>413.1385499730883</v>
      </c>
      <c r="C7" s="31">
        <v>425.81959913745385</v>
      </c>
      <c r="D7" s="32">
        <v>439.89615166004614</v>
      </c>
      <c r="E7" s="31">
        <v>455.6282941476447</v>
      </c>
      <c r="F7" s="31">
        <v>473.3450258381583</v>
      </c>
    </row>
    <row r="8" spans="1:6" x14ac:dyDescent="0.25">
      <c r="A8" s="30">
        <v>0.120483</v>
      </c>
      <c r="B8" s="31">
        <v>365.93720197558434</v>
      </c>
      <c r="C8" s="31">
        <v>375.3192180831434</v>
      </c>
      <c r="D8" s="31">
        <v>385.6081889512454</v>
      </c>
      <c r="E8" s="31">
        <v>396.95446681631216</v>
      </c>
      <c r="F8" s="31">
        <v>409.54358102282714</v>
      </c>
    </row>
    <row r="9" spans="1:6" x14ac:dyDescent="0.25">
      <c r="A9" s="30">
        <v>0.130483</v>
      </c>
      <c r="B9" s="31">
        <v>327.2561522949938</v>
      </c>
      <c r="C9" s="31">
        <v>334.308994816279</v>
      </c>
      <c r="D9" s="31">
        <v>341.9646838947528</v>
      </c>
      <c r="E9" s="31">
        <v>350.31321185108465</v>
      </c>
      <c r="F9" s="31">
        <v>359.46342092072877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200966000000</v>
      </c>
      <c r="C5" s="18">
        <v>164501000000</v>
      </c>
      <c r="D5" s="18">
        <v>134902000000</v>
      </c>
      <c r="E5" s="18">
        <v>116609000000</v>
      </c>
      <c r="F5" s="8" t="s">
        <v>84</v>
      </c>
    </row>
    <row r="6" spans="1:6" x14ac:dyDescent="0.25">
      <c r="A6" t="s">
        <v>44</v>
      </c>
      <c r="B6" s="18">
        <v>83276000000</v>
      </c>
      <c r="C6" s="18">
        <v>69380000000</v>
      </c>
      <c r="D6" s="18">
        <v>46751000000</v>
      </c>
      <c r="E6" s="18">
        <v>28944000000</v>
      </c>
      <c r="F6" s="8" t="s">
        <v>85</v>
      </c>
    </row>
    <row r="7" spans="1:6" x14ac:dyDescent="0.25">
      <c r="A7" t="s">
        <v>86</v>
      </c>
      <c r="B7" s="18">
        <v>18616000000</v>
      </c>
      <c r="C7" s="18">
        <v>15498000000</v>
      </c>
      <c r="D7" s="18">
        <v>11178000000</v>
      </c>
      <c r="E7" s="18">
        <v>8686000000</v>
      </c>
      <c r="F7" s="8" t="s">
        <v>87</v>
      </c>
    </row>
    <row r="8" spans="1:6" x14ac:dyDescent="0.25">
      <c r="A8" t="s">
        <v>88</v>
      </c>
      <c r="B8" s="18">
        <v>69691000000</v>
      </c>
      <c r="C8" s="18">
        <v>37256000000</v>
      </c>
      <c r="D8" s="18">
        <v>27045000000</v>
      </c>
      <c r="E8" s="18">
        <v>31186000000</v>
      </c>
      <c r="F8" s="8" t="s">
        <v>89</v>
      </c>
    </row>
    <row r="9" spans="1:6" x14ac:dyDescent="0.25">
      <c r="A9" t="s">
        <v>90</v>
      </c>
      <c r="B9" s="18">
        <v>885000000</v>
      </c>
      <c r="C9" s="18">
        <v>-1048000000</v>
      </c>
      <c r="D9" s="18">
        <v>-3836000000</v>
      </c>
      <c r="E9" s="18">
        <v>-5683000000</v>
      </c>
      <c r="F9" s="8" t="s">
        <v>91</v>
      </c>
    </row>
    <row r="10" spans="1:6" x14ac:dyDescent="0.25">
      <c r="A10" t="s">
        <v>92</v>
      </c>
      <c r="B10" s="18">
        <v>83897000000</v>
      </c>
      <c r="C10" s="18">
        <v>49060000000</v>
      </c>
      <c r="D10" s="18">
        <v>37234000000</v>
      </c>
      <c r="E10" s="18">
        <v>26591000000</v>
      </c>
      <c r="F10" s="8" t="s">
        <v>93</v>
      </c>
    </row>
    <row r="11" spans="1:6" x14ac:dyDescent="0.25">
      <c r="A11" t="s">
        <v>94</v>
      </c>
      <c r="B11" s="18">
        <v>81592000000</v>
      </c>
      <c r="C11" s="18">
        <v>77815000000</v>
      </c>
      <c r="D11" s="18">
        <v>65403000000</v>
      </c>
      <c r="E11" s="18">
        <v>40738000000</v>
      </c>
      <c r="F11" s="8" t="s">
        <v>95</v>
      </c>
    </row>
    <row r="12" spans="1:6" x14ac:dyDescent="0.25">
      <c r="A12" t="s">
        <v>32</v>
      </c>
      <c r="B12" s="34">
        <v>2574000000</v>
      </c>
      <c r="C12" s="34">
        <v>2614000000</v>
      </c>
      <c r="D12" s="34">
        <v>2629000000</v>
      </c>
      <c r="E12" s="34">
        <v>2702000000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2026-09-19T00:06:14Z</dcterms:modified>
</cp:coreProperties>
</file>