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<sst xmlns="http://schemas.openxmlformats.org/spreadsheetml/2006/main" count="113" uniqueCount="101">
  <si>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Meridian Energy Limited (MEZ.AX)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</si>
  <si>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</si>
  <si>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</si>
  <si>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</si>
  <si>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</si>
  <si>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</si>
  <si>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</si>
  <si>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</si>
  <si>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</si>
  <si>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</si>
  <si>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</si>
  <si>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</si>
  <si>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</si>
  <si>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</si>
  <si>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</si>
  <si>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</si>
  <si>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</si>
  <si>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</si>
  <si>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</si>
  <si>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</si>
  <si>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</si>
  <si>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</si>
  <si>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</si>
  <si>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</si>
  <si>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</si>
  <si>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</si>
  <si>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</si>
  <si>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</si>
  <si>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</si>
  <si>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</si>
  <si>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</si>
  <si>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</si>
  <si>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</si>
  <si>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</si>
  <si>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</si>
  <si>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</si>
  <si>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</si>
  <si>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</si>
  <si>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</si>
  <si>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</si>
  <si>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</si>
  <si>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</si>
  <si>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</si>
  <si>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</si>
  <si>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</si>
  <si>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</si>
  <si>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</si>
  <si>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</si>
  <si>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</si>
  <si>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</si>
  <si>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</si>
  <si>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</si>
  <si>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</si>
  <si>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</si>
  <si>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</si>
  <si>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</si>
  <si>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</si>
  <si>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</si>
  <si>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</si>
  <si>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</si>
  <si>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</si>
  <si>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</si>
  <si>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</si>
  <si>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</si>
  <si>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</si>
  <si>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</si>
  <si>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</si>
  <si>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</si>
  <si>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</si>
  <si>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</si>
  <si>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NZD to AUD</t>
  </si>
  <si>
    <t>NZD/AUD at 0.8033</t>
  </si>
  <si>
    <t>Value per share (AUD)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</si>
  <si>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</si>
  <si>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</si>
  <si>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</si>
  <si>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</si>
  <si>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</si>
  <si>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</si>
  <si>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</si>
  <si>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</si>
  <si>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</si>
  <si>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</si>
  <si>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</si>
  <si>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</si>
  <si>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</si>
  <si>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</si>
  <si>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</si>
  <si>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</si>
  <si>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</si>
  <si>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</si>
  <si>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</si>
  <si>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</si>
  <si>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</si>
  <si>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</si>
  <si>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</si>
  <si>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</si>
  <si>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</si>
  <si>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</si>
  <si>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Adjusted: Reports in NZD, trades in AUD. Modelled in NZD, converted at the end.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</si>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</sst>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0.06343213538594061</v>
      </c>
    </row>
    <row r="7" spans="1:2" x14ac:dyDescent="0.25">
      <c r="A7" t="s">
        <v>5</v>
      </c>
      <c r="B7" s="6">
        <v>0.1496744728134461</v>
      </c>
    </row>
    <row r="8" spans="1:2" x14ac:dyDescent="0.25">
      <c r="A8" t="s">
        <v>6</v>
      </c>
      <c r="B8" s="6">
        <v>0.24603174603174602</v>
      </c>
    </row>
    <row r="9" spans="1:2" x14ac:dyDescent="0.25">
      <c r="A9" t="s">
        <v>7</v>
      </c>
      <c r="B9" s="6">
        <v>0.09821190482206152</v>
      </c>
    </row>
    <row r="10" spans="1:2" x14ac:dyDescent="0.25">
      <c r="A10" t="s">
        <v>8</v>
      </c>
      <c r="B10" s="6">
        <v>0.06974429005754296</v>
      </c>
    </row>
    <row r="11" spans="1:2" x14ac:dyDescent="0.25">
      <c r="A11" t="s">
        <v>9</v>
      </c>
      <c r="B11" s="6">
        <v>0.1167076167076167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9.635798495522389</v>
      </c>
    </row>
    <row r="14" spans="1:3" x14ac:dyDescent="0.25">
      <c r="A14" t="s">
        <v>12</v>
      </c>
      <c r="B14" s="6">
        <v>0.08393839082950331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0.6375299999999999</v>
      </c>
      <c r="C19" s="8" t="s">
        <v>19</v>
      </c>
    </row>
    <row r="20" spans="1:2" x14ac:dyDescent="0.25">
      <c r="A20" t="s">
        <v>20</v>
      </c>
      <c r="B20" s="10">
        <f>B17+B19*B18</f>
        <v>0.0917318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11388969984</v>
      </c>
    </row>
    <row r="23" spans="1:2" x14ac:dyDescent="0.25">
      <c r="A23" t="s">
        <v>24</v>
      </c>
      <c r="B23" s="11">
        <v>2035000000</v>
      </c>
    </row>
    <row r="24" spans="1:2" x14ac:dyDescent="0.25">
      <c r="A24" t="s">
        <v>25</v>
      </c>
      <c r="B24" s="10">
        <f>B22/(B22+B23)</f>
        <v>0.8484055013214785</v>
      </c>
    </row>
    <row r="25" spans="1:2" x14ac:dyDescent="0.25">
      <c r="A25" t="s">
        <v>26</v>
      </c>
      <c r="B25" s="10">
        <f>1-B24</f>
        <v>0.15159449867852148</v>
      </c>
    </row>
    <row r="26" spans="1:2" x14ac:dyDescent="0.25">
      <c r="A26" t="s">
        <v>27</v>
      </c>
      <c r="B26" s="12">
        <f>B24*B20+B25*B21*(1-B8)</f>
        <v>0.08393839082950331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3852000000</v>
      </c>
      <c r="C29" s="8" t="s">
        <v>30</v>
      </c>
    </row>
    <row r="30" spans="1:2" x14ac:dyDescent="0.25">
      <c r="A30" t="s">
        <v>31</v>
      </c>
      <c r="B30" s="11">
        <v>1523000000</v>
      </c>
    </row>
    <row r="31" spans="1:2" x14ac:dyDescent="0.25">
      <c r="A31" t="s">
        <v>32</v>
      </c>
      <c r="B31" s="13">
        <v>2648597400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0.06343213538594061</v>
      </c>
      <c r="C5" s="10">
        <f>Assumptions!B6</f>
        <v>0.06343213538594061</v>
      </c>
      <c r="D5" s="10">
        <f>Assumptions!B6</f>
        <v>0.06343213538594061</v>
      </c>
      <c r="E5" s="10">
        <f>Assumptions!B6</f>
        <v>0.06343213538594061</v>
      </c>
      <c r="F5" s="10">
        <f>Assumptions!B6</f>
        <v>0.06343213538594061</v>
      </c>
    </row>
    <row r="6" spans="1:6" x14ac:dyDescent="0.25">
      <c r="A6" t="s">
        <v>43</v>
      </c>
      <c r="B6" s="18">
        <f>Assumptions!B29*(1+B5)</f>
        <v>4096340585.5066433</v>
      </c>
      <c r="C6" s="18">
        <f>B6*(1+C5)</f>
        <v>4356180216.113424</v>
      </c>
      <c r="D6" s="18">
        <f>C6*(1+D5)</f>
        <v>4632502029.347487</v>
      </c>
      <c r="E6" s="18">
        <f>D6*(1+E5)</f>
        <v>4926351525.248702</v>
      </c>
      <c r="F6" s="18">
        <f>E6*(1+F5)</f>
        <v>5238840522.157013</v>
      </c>
    </row>
    <row r="7" spans="1:6" x14ac:dyDescent="0.25">
      <c r="A7" t="s">
        <v>5</v>
      </c>
      <c r="B7" s="10">
        <f>Assumptions!B7</f>
        <v>0.1496744728134461</v>
      </c>
      <c r="C7" s="10">
        <f>Assumptions!B7</f>
        <v>0.1496744728134461</v>
      </c>
      <c r="D7" s="10">
        <f>Assumptions!B7</f>
        <v>0.1496744728134461</v>
      </c>
      <c r="E7" s="10">
        <f>Assumptions!B7</f>
        <v>0.1496744728134461</v>
      </c>
      <c r="F7" s="10">
        <f>Assumptions!B7</f>
        <v>0.1496744728134461</v>
      </c>
    </row>
    <row r="8" spans="1:6" x14ac:dyDescent="0.25">
      <c r="A8" t="s">
        <v>44</v>
      </c>
      <c r="B8" s="18">
        <f>B6*B7</f>
        <v>613117617.60003</v>
      </c>
      <c r="C8" s="18">
        <f>C6*C7</f>
        <v>652008977.3271405</v>
      </c>
      <c r="D8" s="18">
        <f>D6*D7</f>
        <v>693367299.0498043</v>
      </c>
      <c r="E8" s="18">
        <f>E6*E7</f>
        <v>737349067.4353155</v>
      </c>
      <c r="F8" s="18">
        <f>F6*F7</f>
        <v>784120693.3075695</v>
      </c>
    </row>
    <row r="9" spans="1:6" x14ac:dyDescent="0.25">
      <c r="A9" t="s">
        <v>45</v>
      </c>
      <c r="B9" s="18">
        <f>B8*(1-Assumptions!B8)</f>
        <v>462271219.6190702</v>
      </c>
      <c r="C9" s="18">
        <f>C8*(1-Assumptions!B8)</f>
        <v>491594070.206971</v>
      </c>
      <c r="D9" s="18">
        <f>D8*(1-Assumptions!B8)</f>
        <v>522776931.82326514</v>
      </c>
      <c r="E9" s="18">
        <f>E8*(1-Assumptions!B8)</f>
        <v>555937788.9393252</v>
      </c>
      <c r="F9" s="18">
        <f>F8*(1-Assumptions!B8)</f>
        <v>591202110.0334849</v>
      </c>
    </row>
    <row r="10" spans="1:6" x14ac:dyDescent="0.25">
      <c r="A10" t="s">
        <v>46</v>
      </c>
      <c r="B10" s="18">
        <f>B6*Assumptions!B9</f>
        <v>402309411.7025262</v>
      </c>
      <c r="C10" s="18">
        <f>C6*Assumptions!B9</f>
        <v>427828756.77267903</v>
      </c>
      <c r="D10" s="18">
        <f>D6*Assumptions!B9</f>
        <v>454966848.3942823</v>
      </c>
      <c r="E10" s="18">
        <f>E6*Assumptions!B9</f>
        <v>483826367.11774313</v>
      </c>
      <c r="F10" s="18">
        <f>F6*Assumptions!B9</f>
        <v>514516506.74004364</v>
      </c>
    </row>
    <row r="11" spans="1:6" x14ac:dyDescent="0.25">
      <c r="A11" t="s">
        <v>47</v>
      </c>
      <c r="B11" s="18">
        <f>-B6*Assumptions!B10</f>
        <v>-285696365.9700607</v>
      </c>
      <c r="C11" s="18">
        <f>-C6*Assumptions!B10</f>
        <v>-303818696.5355448</v>
      </c>
      <c r="D11" s="18">
        <f>-D6*Assumptions!B10</f>
        <v>-323090565.2269675</v>
      </c>
      <c r="E11" s="18">
        <f>-E6*Assumptions!B10</f>
        <v>-343584889.7023646</v>
      </c>
      <c r="F11" s="18">
        <f>-F6*Assumptions!B10</f>
        <v>-365379212.9425285</v>
      </c>
    </row>
    <row r="12" spans="1:6" x14ac:dyDescent="0.25">
      <c r="A12" t="s">
        <v>48</v>
      </c>
      <c r="B12" s="18">
        <f>-(B6-Assumptions!B29)*Assumptions!B11</f>
        <v>-28516407.39942397</v>
      </c>
      <c r="C12" s="18">
        <f>-(C6-B6)*Assumptions!B11</f>
        <v>-30325264.014304906</v>
      </c>
      <c r="D12" s="18">
        <f>-(D6-C6)*Assumptions!B11</f>
        <v>-32248860.26687469</v>
      </c>
      <c r="E12" s="18">
        <f>-(E6-D6)*Assumptions!B11</f>
        <v>-34294474.33736534</v>
      </c>
      <c r="F12" s="18">
        <f>-(F6-E6)*Assumptions!B11</f>
        <v>-36469846.07652277</v>
      </c>
    </row>
    <row r="13" spans="1:6" x14ac:dyDescent="0.25">
      <c r="A13" s="19" t="s">
        <v>49</v>
      </c>
      <c r="B13" s="20">
        <f>B9+B10+B11+B12</f>
        <v>550367857.9521117</v>
      </c>
      <c r="C13" s="20">
        <f>C9+C10+C11+C12</f>
        <v>585278866.4298003</v>
      </c>
      <c r="D13" s="20">
        <f>D9+D10+D11+D12</f>
        <v>622404354.7237052</v>
      </c>
      <c r="E13" s="20">
        <f>E9+E10+E11+E12</f>
        <v>661884792.0173383</v>
      </c>
      <c r="F13" s="20">
        <f>F9+F10+F11+F12</f>
        <v>703869557.7544773</v>
      </c>
    </row>
    <row r="14" spans="1:6" x14ac:dyDescent="0.25">
      <c r="A14" t="s">
        <v>50</v>
      </c>
      <c r="B14" s="21">
        <f>1/(1+Assumptions!$B$26)^(1-0.5*Assumptions!$B$32)</f>
        <v>0.9605007334250661</v>
      </c>
      <c r="C14" s="21">
        <f>1/(1+Assumptions!$B$26)^(2-0.5*Assumptions!$B$32)</f>
        <v>0.8861211500129872</v>
      </c>
      <c r="D14" s="21">
        <f>1/(1+Assumptions!$B$26)^(3-0.5*Assumptions!$B$32)</f>
        <v>0.8175013981512982</v>
      </c>
      <c r="E14" s="21">
        <f>1/(1+Assumptions!$B$26)^(4-0.5*Assumptions!$B$32)</f>
        <v>0.7541954460397795</v>
      </c>
      <c r="F14" s="21">
        <f>1/(1+Assumptions!$B$26)^(5-0.5*Assumptions!$B$32)</f>
        <v>0.6957918018408943</v>
      </c>
    </row>
    <row r="15" spans="1:6" x14ac:dyDescent="0.25">
      <c r="A15" s="19" t="s">
        <v>51</v>
      </c>
      <c r="B15" s="20">
        <f>B13*B14</f>
        <v>528628731.21658593</v>
      </c>
      <c r="C15" s="20">
        <f>C13*C14</f>
        <v>518627982.1990721</v>
      </c>
      <c r="D15" s="20">
        <f>D13*D14</f>
        <v>508816430.20208555</v>
      </c>
      <c r="E15" s="20">
        <f>E13*E14</f>
        <v>499190495.94246316</v>
      </c>
      <c r="F15" s="20">
        <f>F13*F14</f>
        <v>489746667.8509411</v>
      </c>
    </row>
    <row r="17" spans="1:2" x14ac:dyDescent="0.25">
      <c r="A17" s="22" t="s">
        <v>52</v>
      </c>
      <c r="B17" s="23">
        <f>SUM(B15:F15)</f>
        <v>2545010307.4111476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703869557.7544773</v>
      </c>
    </row>
    <row r="5" spans="1:2" x14ac:dyDescent="0.25">
      <c r="A5" t="s">
        <v>56</v>
      </c>
      <c r="B5" s="18">
        <f>IF(Assumptions!$B$33=0,B4,B4-Forecast!F11-Forecast!F10-Forecast!F12)</f>
        <v>591202110.0334849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0.29783749429721984</v>
      </c>
    </row>
    <row r="7" spans="1:2" x14ac:dyDescent="0.25">
      <c r="A7" t="s">
        <v>58</v>
      </c>
      <c r="B7" s="18">
        <f>-MAX(Forecast!F9,0)*B6</f>
        <v>-176082155.0756024</v>
      </c>
    </row>
    <row r="8" spans="1:2" x14ac:dyDescent="0.25">
      <c r="A8" t="s">
        <v>59</v>
      </c>
      <c r="B8" s="18">
        <f>IF(OR(Assumptions!$B$33=0,Assumptions!B12&lt;=0),B5,MAX(B5+B7,0))</f>
        <v>415119954.9578825</v>
      </c>
    </row>
    <row r="9" spans="1:2" x14ac:dyDescent="0.25">
      <c r="A9" t="s">
        <v>60</v>
      </c>
      <c r="B9" s="18">
        <f>B8*(1+Assumptions!B12)/(Assumptions!B26-Assumptions!B12)</f>
        <v>7219368358.099696</v>
      </c>
    </row>
    <row r="10" spans="1:2" x14ac:dyDescent="0.25">
      <c r="A10" t="s">
        <v>61</v>
      </c>
      <c r="B10" s="18">
        <f>B9/(1+Assumptions!B26)^(5-0.5*Assumptions!B32)</f>
        <v>5023177318.035326</v>
      </c>
    </row>
    <row r="11" spans="1:2" x14ac:dyDescent="0.25">
      <c r="A11" t="s">
        <v>62</v>
      </c>
      <c r="B11" s="18">
        <f>Forecast!B17+B10</f>
        <v>7568187625.446474</v>
      </c>
    </row>
    <row r="12" spans="1:2" x14ac:dyDescent="0.25">
      <c r="A12" t="s">
        <v>63</v>
      </c>
      <c r="B12" s="18">
        <f>-Assumptions!B30</f>
        <v>-1523000000</v>
      </c>
    </row>
    <row r="13" spans="1:2" x14ac:dyDescent="0.25">
      <c r="A13" t="s">
        <v>64</v>
      </c>
      <c r="B13" s="18">
        <f>B11+B12</f>
        <v>6045187625.446474</v>
      </c>
    </row>
    <row r="14" spans="1:2" x14ac:dyDescent="0.25">
      <c r="A14" s="19" t="s">
        <v>65</v>
      </c>
      <c r="B14" s="24">
        <f>B13/Assumptions!B31</f>
        <v>2.282410918868407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1298637200.0476131</v>
      </c>
    </row>
    <row r="18" spans="1:2" x14ac:dyDescent="0.25">
      <c r="A18" t="s">
        <v>60</v>
      </c>
      <c r="B18" s="18">
        <f>B17*Assumptions!B13</f>
        <v>12513406378.448198</v>
      </c>
    </row>
    <row r="19" spans="1:2" x14ac:dyDescent="0.25">
      <c r="A19" t="s">
        <v>61</v>
      </c>
      <c r="B19" s="18">
        <f>B18/(1+Assumptions!B26)^(5-0.5*Assumptions!B32)</f>
        <v>8706725571.227812</v>
      </c>
    </row>
    <row r="20" spans="1:2" x14ac:dyDescent="0.25">
      <c r="A20" t="s">
        <v>62</v>
      </c>
      <c r="B20" s="18">
        <f>Forecast!B17+B19</f>
        <v>11251735878.63896</v>
      </c>
    </row>
    <row r="21" spans="1:2" x14ac:dyDescent="0.25">
      <c r="A21" t="s">
        <v>63</v>
      </c>
      <c r="B21" s="18">
        <f>-Assumptions!B30</f>
        <v>-1523000000</v>
      </c>
    </row>
    <row r="22" spans="1:2" x14ac:dyDescent="0.25">
      <c r="A22" t="s">
        <v>64</v>
      </c>
      <c r="B22" s="18">
        <f>B20+B21</f>
        <v>9728735878.63896</v>
      </c>
    </row>
    <row r="23" spans="1:2" x14ac:dyDescent="0.25">
      <c r="A23" s="19" t="s">
        <v>65</v>
      </c>
      <c r="B23" s="25">
        <f>B22/Assumptions!B31</f>
        <v>3.673165230260726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4.3</v>
      </c>
    </row>
    <row r="27" spans="1:3" x14ac:dyDescent="0.25">
      <c r="A27" t="s">
        <v>70</v>
      </c>
      <c r="B27" s="27">
        <v>0.8033</v>
      </c>
      <c r="C27" s="8" t="s">
        <v>71</v>
      </c>
    </row>
    <row r="28" spans="1:2" x14ac:dyDescent="0.25">
      <c r="A28" t="s">
        <v>72</v>
      </c>
      <c r="B28" s="28">
        <f>B14*B27</f>
        <v>1.8334606911269915</v>
      </c>
    </row>
    <row r="29" spans="1:2" x14ac:dyDescent="0.25">
      <c r="A29" s="19" t="s">
        <v>73</v>
      </c>
      <c r="B29" s="12">
        <f>B28/B26-1</f>
        <v>-0.5736137927611648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0.063938</v>
      </c>
      <c r="B5" s="31">
        <v>3.1123401357510097</v>
      </c>
      <c r="C5" s="31">
        <v>3.1255472380388136</v>
      </c>
      <c r="D5" s="31">
        <v>3.138754340326617</v>
      </c>
      <c r="E5" s="31">
        <v>3.151961442614421</v>
      </c>
      <c r="F5" s="31">
        <v>3.165168544902226</v>
      </c>
    </row>
    <row r="6" spans="1:6" x14ac:dyDescent="0.25">
      <c r="A6" s="30">
        <v>0.073938</v>
      </c>
      <c r="B6" s="31">
        <v>2.6309896342207573</v>
      </c>
      <c r="C6" s="31">
        <v>2.6419396788472365</v>
      </c>
      <c r="D6" s="31">
        <v>2.6528897234737148</v>
      </c>
      <c r="E6" s="31">
        <v>2.6638397681001935</v>
      </c>
      <c r="F6" s="31">
        <v>2.674789812726672</v>
      </c>
    </row>
    <row r="7" spans="1:6" x14ac:dyDescent="0.25">
      <c r="A7" s="30">
        <v>0.083938</v>
      </c>
      <c r="B7" s="31">
        <v>2.263920710611652</v>
      </c>
      <c r="C7" s="31">
        <v>2.273172195129359</v>
      </c>
      <c r="D7" s="32">
        <v>2.2824236796470654</v>
      </c>
      <c r="E7" s="31">
        <v>2.291675164164773</v>
      </c>
      <c r="F7" s="31">
        <v>2.3009266486824798</v>
      </c>
    </row>
    <row r="8" spans="1:6" x14ac:dyDescent="0.25">
      <c r="A8" s="30">
        <v>0.093938</v>
      </c>
      <c r="B8" s="31">
        <v>1.9746604884760037</v>
      </c>
      <c r="C8" s="31">
        <v>1.98259246706024</v>
      </c>
      <c r="D8" s="31">
        <v>1.9905244456444753</v>
      </c>
      <c r="E8" s="31">
        <v>1.9984564242287117</v>
      </c>
      <c r="F8" s="31">
        <v>2.0063884028129473</v>
      </c>
    </row>
    <row r="9" spans="1:6" x14ac:dyDescent="0.25">
      <c r="A9" s="30">
        <v>0.103938</v>
      </c>
      <c r="B9" s="31">
        <v>1.740770889377957</v>
      </c>
      <c r="C9" s="31">
        <v>1.7476520960564823</v>
      </c>
      <c r="D9" s="31">
        <v>1.7545333027350072</v>
      </c>
      <c r="E9" s="31">
        <v>1.7614145094135325</v>
      </c>
      <c r="F9" s="31">
        <v>1.7682957160920574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3852000000</v>
      </c>
      <c r="C5" s="18">
        <v>4794000000</v>
      </c>
      <c r="D5" s="18">
        <v>4831000000</v>
      </c>
      <c r="E5" s="18">
        <v>3203000000</v>
      </c>
      <c r="F5" s="8" t="s">
        <v>84</v>
      </c>
    </row>
    <row r="6" spans="1:6" x14ac:dyDescent="0.25">
      <c r="A6" t="s">
        <v>44</v>
      </c>
      <c r="B6" s="18">
        <v>805000000</v>
      </c>
      <c r="C6" s="18">
        <v>710000000</v>
      </c>
      <c r="D6" s="18">
        <v>395000000</v>
      </c>
      <c r="E6" s="18">
        <v>512000000</v>
      </c>
      <c r="F6" s="8" t="s">
        <v>85</v>
      </c>
    </row>
    <row r="7" spans="1:6" x14ac:dyDescent="0.25">
      <c r="A7" t="s">
        <v>86</v>
      </c>
      <c r="B7" s="18">
        <v>535000000</v>
      </c>
      <c r="C7" s="18">
        <v>446000000</v>
      </c>
      <c r="D7" s="18">
        <v>334000000</v>
      </c>
      <c r="E7" s="18">
        <v>294000000</v>
      </c>
      <c r="F7" s="8" t="s">
        <v>87</v>
      </c>
    </row>
    <row r="8" spans="1:6" x14ac:dyDescent="0.25">
      <c r="A8" t="s">
        <v>88</v>
      </c>
      <c r="B8" s="18">
        <v>264000000</v>
      </c>
      <c r="C8" s="18">
        <v>184000000</v>
      </c>
      <c r="D8" s="18">
        <v>335000000</v>
      </c>
      <c r="E8" s="18">
        <v>329000000</v>
      </c>
      <c r="F8" s="8" t="s">
        <v>89</v>
      </c>
    </row>
    <row r="9" spans="1:6" x14ac:dyDescent="0.25">
      <c r="A9" t="s">
        <v>90</v>
      </c>
      <c r="B9" s="18">
        <v>-55000000</v>
      </c>
      <c r="C9" s="18">
        <v>-134000000</v>
      </c>
      <c r="D9" s="18">
        <v>190000000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2035000000</v>
      </c>
      <c r="C10" s="18">
        <v>1569000000</v>
      </c>
      <c r="D10" s="18">
        <v>1377000000</v>
      </c>
      <c r="E10" s="18">
        <v>1263000000</v>
      </c>
      <c r="F10" s="8" t="s">
        <v>93</v>
      </c>
    </row>
    <row r="11" spans="1:6" x14ac:dyDescent="0.25">
      <c r="A11" t="s">
        <v>94</v>
      </c>
      <c r="B11" s="18">
        <v>512000000</v>
      </c>
      <c r="C11" s="18">
        <v>123000000</v>
      </c>
      <c r="D11" s="18">
        <v>221000000</v>
      </c>
      <c r="E11" s="18">
        <v>212000000</v>
      </c>
      <c r="F11" s="8" t="s">
        <v>95</v>
      </c>
    </row>
    <row r="12" spans="1:6" x14ac:dyDescent="0.25">
      <c r="A12" t="s">
        <v>32</v>
      </c>
      <c r="B12" s="34">
        <v>2648597400</v>
      </c>
      <c r="C12" s="34">
        <v>2604161774</v>
      </c>
      <c r="D12" s="34">
        <v>2588594444</v>
      </c>
      <c r="E12" s="34">
        <v>2581801567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2026-09-19T00:06:41Z</dcterms:modified>
</cp:coreProperties>
</file>