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<sst xmlns="http://schemas.openxmlformats.org/spreadsheetml/2006/main" count="115" uniqueCount="102">
  <si>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Manulife Financial Corporation (MFC.TO)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</si>
  <si>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</si>
  <si>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</si>
  <si>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</si>
  <si>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</si>
  <si>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</si>
  <si>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</si>
  <si>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</si>
  <si>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</si>
  <si>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</si>
  <si>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</si>
  <si>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</si>
  <si>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</si>
  <si>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</si>
  <si>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</si>
  <si>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</si>
  <si>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</si>
  <si>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</si>
  <si>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</si>
  <si>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</si>
  <si>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</si>
  <si>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</si>
  <si>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11.3% is not a credible funding cost, so risk-free + 2bp is assumed instead. Interest expense and reported debt are measuring different things - common for banks, whose interest expense includes deposits that total debt excludes.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</si>
  <si>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</si>
  <si>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</si>
  <si>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</si>
  <si>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</si>
  <si>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</si>
  <si>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</si>
  <si>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</si>
  <si>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</si>
  <si>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</si>
  <si>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</si>
  <si>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</si>
  <si>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</si>
  <si>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</si>
  <si>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</si>
  <si>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</si>
  <si>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</si>
  <si>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</si>
  <si>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</si>
  <si>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</si>
  <si>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</si>
  <si>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</si>
  <si>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</si>
  <si>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</si>
  <si>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</si>
  <si>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</si>
  <si>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</si>
  <si>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</si>
  <si>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</si>
  <si>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</si>
  <si>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</si>
  <si>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</si>
  <si>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</si>
  <si>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</si>
  <si>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</si>
  <si>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</si>
  <si>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</si>
  <si>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</si>
  <si>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</si>
  <si>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</si>
  <si>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</si>
  <si>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</si>
  <si>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</si>
  <si>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</si>
  <si>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</si>
  <si>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</si>
  <si>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</si>
  <si>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</si>
  <si>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</si>
  <si>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</si>
  <si>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</si>
  <si>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</si>
  <si>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</si>
  <si>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</si>
  <si>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</si>
  <si>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</si>
  <si>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</si>
  <si>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</si>
  <si>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</si>
  <si>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</si>
  <si>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</si>
  <si>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</si>
  <si>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</si>
  <si>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</si>
  <si>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</si>
  <si>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</si>
  <si>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</si>
  <si>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</si>
  <si>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</si>
  <si>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</si>
  <si>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</si>
  <si>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</si>
  <si>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</si>
  <si>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</si>
  <si>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Only 2 year(s) of history available to anchor assumptions on.</t>
  </si>
  <si>
    <t>Adjusted: Consensus rests on as few as 2 analyst estimate(s).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</si>
  <si>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</si>
  <si>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-4.8%.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</si>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</sst>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0.001962113702796614</v>
      </c>
    </row>
    <row r="8" spans="1:2" x14ac:dyDescent="0.25">
      <c r="A8" t="s">
        <v>6</v>
      </c>
      <c r="B8" s="6">
        <v>0.14575697772765717</v>
      </c>
    </row>
    <row r="9" spans="1:2" x14ac:dyDescent="0.25">
      <c r="A9" t="s">
        <v>7</v>
      </c>
      <c r="B9" s="6">
        <v>-0.04775638989748773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17.273508491547958</v>
      </c>
    </row>
    <row r="14" spans="1:3" x14ac:dyDescent="0.25">
      <c r="A14" t="s">
        <v>12</v>
      </c>
      <c r="B14" s="6">
        <v>0.10276063216441701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0.83853</v>
      </c>
      <c r="C19" s="8" t="s">
        <v>19</v>
      </c>
    </row>
    <row r="20" spans="1:2" x14ac:dyDescent="0.25">
      <c r="A20" t="s">
        <v>20</v>
      </c>
      <c r="B20" s="10">
        <f>B17+B19*B18</f>
        <v>0.07911915</v>
      </c>
    </row>
    <row r="21" spans="1:3" x14ac:dyDescent="0.25">
      <c r="A21" t="s">
        <v>21</v>
      </c>
      <c r="B21" s="6">
        <v>0.053000000000000005</v>
      </c>
      <c r="C21" s="8" t="s">
        <v>22</v>
      </c>
    </row>
    <row r="22" spans="1:2" x14ac:dyDescent="0.25">
      <c r="A22" t="s">
        <v>23</v>
      </c>
      <c r="B22" s="11">
        <v>102973022208</v>
      </c>
    </row>
    <row r="23" spans="1:2" x14ac:dyDescent="0.25">
      <c r="A23" t="s">
        <v>24</v>
      </c>
      <c r="B23" s="11">
        <v>14675000000</v>
      </c>
    </row>
    <row r="24" spans="1:2" x14ac:dyDescent="0.25">
      <c r="A24" t="s">
        <v>25</v>
      </c>
      <c r="B24" s="10">
        <f>B22/(B22+B23)</f>
        <v>0.8752635214380841</v>
      </c>
    </row>
    <row r="25" spans="1:2" x14ac:dyDescent="0.25">
      <c r="A25" t="s">
        <v>26</v>
      </c>
      <c r="B25" s="10">
        <f>1-B24</f>
        <v>0.12473647856191594</v>
      </c>
    </row>
    <row r="26" spans="1:2" x14ac:dyDescent="0.25">
      <c r="A26" t="s">
        <v>27</v>
      </c>
      <c r="B26" s="12">
        <f>B24*B20+B25*B21*(1-B8)</f>
        <v>0.07489753496320803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53014000000</v>
      </c>
      <c r="C29" s="8" t="s">
        <v>30</v>
      </c>
    </row>
    <row r="30" spans="1:2" x14ac:dyDescent="0.25">
      <c r="A30" t="s">
        <v>31</v>
      </c>
      <c r="B30" s="11">
        <v>-12028000000</v>
      </c>
    </row>
    <row r="31" spans="1:2" x14ac:dyDescent="0.25">
      <c r="A31" t="s">
        <v>32</v>
      </c>
      <c r="B31" s="13">
        <v>1708000000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79521000000</v>
      </c>
      <c r="C6" s="18">
        <f>B6*(1+C5)</f>
        <v>119281500000</v>
      </c>
      <c r="D6" s="18">
        <f>C6*(1+D5)</f>
        <v>178922250000</v>
      </c>
      <c r="E6" s="18">
        <f>D6*(1+E5)</f>
        <v>268383375000</v>
      </c>
      <c r="F6" s="18">
        <f>E6*(1+F5)</f>
        <v>402575062500</v>
      </c>
    </row>
    <row r="7" spans="1:6" x14ac:dyDescent="0.25">
      <c r="A7" t="s">
        <v>5</v>
      </c>
      <c r="B7" s="10">
        <f>Assumptions!B7</f>
        <v>0.001962113702796614</v>
      </c>
      <c r="C7" s="10">
        <f>Assumptions!B7</f>
        <v>0.001962113702796614</v>
      </c>
      <c r="D7" s="10">
        <f>Assumptions!B7</f>
        <v>0.001962113702796614</v>
      </c>
      <c r="E7" s="10">
        <f>Assumptions!B7</f>
        <v>0.001962113702796614</v>
      </c>
      <c r="F7" s="10">
        <f>Assumptions!B7</f>
        <v>0.001962113702796614</v>
      </c>
    </row>
    <row r="8" spans="1:6" x14ac:dyDescent="0.25">
      <c r="A8" t="s">
        <v>44</v>
      </c>
      <c r="B8" s="18">
        <f>B6*B7</f>
        <v>156029243.76008955</v>
      </c>
      <c r="C8" s="18">
        <f>C6*C7</f>
        <v>234043865.6401343</v>
      </c>
      <c r="D8" s="18">
        <f>D6*D7</f>
        <v>351065798.46020144</v>
      </c>
      <c r="E8" s="18">
        <f>E6*E7</f>
        <v>526598697.6903022</v>
      </c>
      <c r="F8" s="18">
        <f>F6*F7</f>
        <v>789898046.5354533</v>
      </c>
    </row>
    <row r="9" spans="1:6" x14ac:dyDescent="0.25">
      <c r="A9" t="s">
        <v>45</v>
      </c>
      <c r="B9" s="18">
        <f>B8*(1-Assumptions!B8)</f>
        <v>133286892.75248699</v>
      </c>
      <c r="C9" s="18">
        <f>C8*(1-Assumptions!B8)</f>
        <v>199930339.12873048</v>
      </c>
      <c r="D9" s="18">
        <f>D8*(1-Assumptions!B8)</f>
        <v>299895508.6930957</v>
      </c>
      <c r="E9" s="18">
        <f>E8*(1-Assumptions!B8)</f>
        <v>449843263.0396435</v>
      </c>
      <c r="F9" s="18">
        <f>F8*(1-Assumptions!B8)</f>
        <v>674764894.5594653</v>
      </c>
    </row>
    <row r="10" spans="1:6" x14ac:dyDescent="0.25">
      <c r="A10" t="s">
        <v>46</v>
      </c>
      <c r="B10" s="18">
        <f>B6*Assumptions!B9</f>
        <v>-3797635881.038122</v>
      </c>
      <c r="C10" s="18">
        <f>C6*Assumptions!B9</f>
        <v>-5696453821.557183</v>
      </c>
      <c r="D10" s="18">
        <f>D6*Assumptions!B9</f>
        <v>-8544680732.335774</v>
      </c>
      <c r="E10" s="18">
        <f>E6*Assumptions!B9</f>
        <v>-12817021098.503662</v>
      </c>
      <c r="F10" s="18">
        <f>F6*Assumptions!B9</f>
        <v>-19225531647.755493</v>
      </c>
    </row>
    <row r="11" spans="1:6" x14ac:dyDescent="0.25">
      <c r="A11" t="s">
        <v>47</v>
      </c>
      <c r="B11" s="18">
        <f>-B6*Assumptions!B10</f>
        <v>-795210000</v>
      </c>
      <c r="C11" s="18">
        <f>-C6*Assumptions!B10</f>
        <v>-1192815000</v>
      </c>
      <c r="D11" s="18">
        <f>-D6*Assumptions!B10</f>
        <v>-1789222500</v>
      </c>
      <c r="E11" s="18">
        <f>-E6*Assumptions!B10</f>
        <v>-2683833750</v>
      </c>
      <c r="F11" s="18">
        <f>-F6*Assumptions!B10</f>
        <v>-4025750625</v>
      </c>
    </row>
    <row r="12" spans="1:6" x14ac:dyDescent="0.25">
      <c r="A12" t="s">
        <v>48</v>
      </c>
      <c r="B12" s="18">
        <f>-(B6-Assumptions!B29)*Assumptions!B11</f>
        <v>26507000000</v>
      </c>
      <c r="C12" s="18">
        <f>-(C6-B6)*Assumptions!B11</f>
        <v>39760500000</v>
      </c>
      <c r="D12" s="18">
        <f>-(D6-C6)*Assumptions!B11</f>
        <v>59640750000</v>
      </c>
      <c r="E12" s="18">
        <f>-(E6-D6)*Assumptions!B11</f>
        <v>89461125000</v>
      </c>
      <c r="F12" s="18">
        <f>-(F6-E6)*Assumptions!B11</f>
        <v>134191687500</v>
      </c>
    </row>
    <row r="13" spans="1:6" x14ac:dyDescent="0.25">
      <c r="A13" s="19" t="s">
        <v>49</v>
      </c>
      <c r="B13" s="20">
        <f>B9+B10+B11+B12</f>
        <v>22047441011.714363</v>
      </c>
      <c r="C13" s="20">
        <f>C9+C10+C11+C12</f>
        <v>33071161517.57155</v>
      </c>
      <c r="D13" s="20">
        <f>D9+D10+D11+D12</f>
        <v>49606742276.35732</v>
      </c>
      <c r="E13" s="20">
        <f>E9+E10+E11+E12</f>
        <v>74410113414.53598</v>
      </c>
      <c r="F13" s="20">
        <f>F9+F10+F11+F12</f>
        <v>111615170121.80397</v>
      </c>
    </row>
    <row r="14" spans="1:6" x14ac:dyDescent="0.25">
      <c r="A14" t="s">
        <v>50</v>
      </c>
      <c r="B14" s="21">
        <f>1/(1+Assumptions!$B$26)^(1-0.5*Assumptions!$B$32)</f>
        <v>0.9645316132349617</v>
      </c>
      <c r="C14" s="21">
        <f>1/(1+Assumptions!$B$26)^(2-0.5*Assumptions!$B$32)</f>
        <v>0.897324239624362</v>
      </c>
      <c r="D14" s="21">
        <f>1/(1+Assumptions!$B$26)^(3-0.5*Assumptions!$B$32)</f>
        <v>0.8347997929449861</v>
      </c>
      <c r="E14" s="21">
        <f>1/(1+Assumptions!$B$26)^(4-0.5*Assumptions!$B$32)</f>
        <v>0.7766319726219859</v>
      </c>
      <c r="F14" s="21">
        <f>1/(1+Assumptions!$B$26)^(5-0.5*Assumptions!$B$32)</f>
        <v>0.7225172143022625</v>
      </c>
    </row>
    <row r="15" spans="1:6" x14ac:dyDescent="0.25">
      <c r="A15" s="19" t="s">
        <v>51</v>
      </c>
      <c r="B15" s="20">
        <f>B13*B14</f>
        <v>21265453846.73151</v>
      </c>
      <c r="C15" s="20">
        <f>C13*C14</f>
        <v>29675554862.24935</v>
      </c>
      <c r="D15" s="20">
        <f>D13*D14</f>
        <v>41411698180.97838</v>
      </c>
      <c r="E15" s="20">
        <f>E13*E14</f>
        <v>57789273164.15678</v>
      </c>
      <c r="F15" s="20">
        <f>F13*F14</f>
        <v>80643881790.27892</v>
      </c>
    </row>
    <row r="17" spans="1:2" x14ac:dyDescent="0.25">
      <c r="A17" s="22" t="s">
        <v>52</v>
      </c>
      <c r="B17" s="23">
        <f>SUM(B15:F15)</f>
        <v>230785861844.39496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111615170121.80397</v>
      </c>
    </row>
    <row r="5" spans="1:2" x14ac:dyDescent="0.25">
      <c r="A5" t="s">
        <v>56</v>
      </c>
      <c r="B5" s="18">
        <f>IF(Assumptions!$B$33=0,B4,B4-Forecast!F11-Forecast!F10-Forecast!F12)</f>
        <v>674764894.5594653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0.2432838283828383</v>
      </c>
    </row>
    <row r="7" spans="1:2" x14ac:dyDescent="0.25">
      <c r="A7" t="s">
        <v>58</v>
      </c>
      <c r="B7" s="18">
        <f>-MAX(Forecast!F9,0)*B6</f>
        <v>-164159386.80676892</v>
      </c>
    </row>
    <row r="8" spans="1:2" x14ac:dyDescent="0.25">
      <c r="A8" t="s">
        <v>59</v>
      </c>
      <c r="B8" s="18">
        <f>IF(OR(Assumptions!$B$33=0,Assumptions!B12&lt;=0),B5,MAX(B5+B7,0))</f>
        <v>510605507.7526964</v>
      </c>
    </row>
    <row r="9" spans="1:2" x14ac:dyDescent="0.25">
      <c r="A9" t="s">
        <v>60</v>
      </c>
      <c r="B9" s="18">
        <f>B8*(1+Assumptions!B12)/(Assumptions!B26-Assumptions!B12)</f>
        <v>10488907835.475668</v>
      </c>
    </row>
    <row r="10" spans="1:2" x14ac:dyDescent="0.25">
      <c r="A10" t="s">
        <v>61</v>
      </c>
      <c r="B10" s="18">
        <f>B9/(1+Assumptions!B26)^(5-0.5*Assumptions!B32)</f>
        <v>7578416470.361053</v>
      </c>
    </row>
    <row r="11" spans="1:2" x14ac:dyDescent="0.25">
      <c r="A11" t="s">
        <v>62</v>
      </c>
      <c r="B11" s="18">
        <f>Forecast!B17+B10</f>
        <v>238364278314.756</v>
      </c>
    </row>
    <row r="12" spans="1:2" x14ac:dyDescent="0.25">
      <c r="A12" t="s">
        <v>63</v>
      </c>
      <c r="B12" s="18">
        <f>-Assumptions!B30</f>
        <v>12028000000</v>
      </c>
    </row>
    <row r="13" spans="1:2" x14ac:dyDescent="0.25">
      <c r="A13" t="s">
        <v>64</v>
      </c>
      <c r="B13" s="18">
        <f>B11+B12</f>
        <v>250392278314.756</v>
      </c>
    </row>
    <row r="14" spans="1:2" x14ac:dyDescent="0.25">
      <c r="A14" s="19" t="s">
        <v>65</v>
      </c>
      <c r="B14" s="24">
        <f>B13/Assumptions!B31</f>
        <v>146.5996945636745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-18435633601.22004</v>
      </c>
    </row>
    <row r="18" spans="1:2" x14ac:dyDescent="0.25">
      <c r="A18" t="s">
        <v>60</v>
      </c>
      <c r="B18" s="18">
        <f>B17*Assumptions!B13</f>
        <v>-318448073557.7412</v>
      </c>
    </row>
    <row r="19" spans="1:2" x14ac:dyDescent="0.25">
      <c r="A19" t="s">
        <v>61</v>
      </c>
      <c r="B19" s="18">
        <f>B18/(1+Assumptions!B26)^(5-0.5*Assumptions!B32)</f>
        <v>-230084215006.86115</v>
      </c>
    </row>
    <row r="20" spans="1:2" x14ac:dyDescent="0.25">
      <c r="A20" t="s">
        <v>62</v>
      </c>
      <c r="B20" s="18">
        <f>Forecast!B17+B19</f>
        <v>701646837.5338135</v>
      </c>
    </row>
    <row r="21" spans="1:2" x14ac:dyDescent="0.25">
      <c r="A21" t="s">
        <v>63</v>
      </c>
      <c r="B21" s="18">
        <f>-Assumptions!B30</f>
        <v>12028000000</v>
      </c>
    </row>
    <row r="22" spans="1:2" x14ac:dyDescent="0.25">
      <c r="A22" t="s">
        <v>64</v>
      </c>
      <c r="B22" s="18">
        <f>B20+B21</f>
        <v>12729646837.533813</v>
      </c>
    </row>
    <row r="23" spans="1:2" x14ac:dyDescent="0.25">
      <c r="A23" s="19" t="s">
        <v>65</v>
      </c>
      <c r="B23" s="25">
        <f>B22/Assumptions!B31</f>
        <v>7.452954822912068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62.06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146.5996945636745</v>
      </c>
    </row>
    <row r="29" spans="1:2" x14ac:dyDescent="0.25">
      <c r="A29" s="19" t="s">
        <v>73</v>
      </c>
      <c r="B29" s="12">
        <f>B28/B26-1</f>
        <v>1.3622251782738397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0.054898</v>
      </c>
      <c r="B5" s="31">
        <v>157.15335313538557</v>
      </c>
      <c r="C5" s="31">
        <v>157.716511363741</v>
      </c>
      <c r="D5" s="31">
        <v>158.46297445474494</v>
      </c>
      <c r="E5" s="31">
        <v>159.5031758946102</v>
      </c>
      <c r="F5" s="31">
        <v>161.0585487536414</v>
      </c>
    </row>
    <row r="6" spans="1:6" x14ac:dyDescent="0.25">
      <c r="A6" s="30">
        <v>0.064898</v>
      </c>
      <c r="B6" s="31">
        <v>151.36445915500911</v>
      </c>
      <c r="C6" s="31">
        <v>151.63963793065503</v>
      </c>
      <c r="D6" s="31">
        <v>151.98015673978367</v>
      </c>
      <c r="E6" s="31">
        <v>152.41410030078117</v>
      </c>
      <c r="F6" s="31">
        <v>152.98834035349745</v>
      </c>
    </row>
    <row r="7" spans="1:6" x14ac:dyDescent="0.25">
      <c r="A7" s="30">
        <v>0.074898</v>
      </c>
      <c r="B7" s="31">
        <v>146.29334198521158</v>
      </c>
      <c r="C7" s="31">
        <v>146.4337261787524</v>
      </c>
      <c r="D7" s="32">
        <v>146.5994612276375</v>
      </c>
      <c r="E7" s="31">
        <v>146.79901661447553</v>
      </c>
      <c r="F7" s="31">
        <v>147.04510738937665</v>
      </c>
    </row>
    <row r="8" spans="1:6" x14ac:dyDescent="0.25">
      <c r="A8" s="30">
        <v>0.084898</v>
      </c>
      <c r="B8" s="31">
        <v>141.69975774117003</v>
      </c>
      <c r="C8" s="31">
        <v>141.76999036313504</v>
      </c>
      <c r="D8" s="31">
        <v>141.84972430064633</v>
      </c>
      <c r="E8" s="31">
        <v>141.94155563613305</v>
      </c>
      <c r="F8" s="31">
        <v>142.0491210077296</v>
      </c>
    </row>
    <row r="9" spans="1:6" x14ac:dyDescent="0.25">
      <c r="A9" s="30">
        <v>0.094898</v>
      </c>
      <c r="B9" s="31">
        <v>137.45949357100272</v>
      </c>
      <c r="C9" s="31">
        <v>137.4906655407779</v>
      </c>
      <c r="D9" s="31">
        <v>137.52446836676143</v>
      </c>
      <c r="E9" s="31">
        <v>137.56151012382657</v>
      </c>
      <c r="F9" s="31">
        <v>137.60260192363356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3" width="17" customWidth="1"/>
    <col min="4" max="4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4" x14ac:dyDescent="0.25">
      <c r="A4" s="16" t="s">
        <v>78</v>
      </c>
      <c r="B4" s="17" t="s">
        <v>79</v>
      </c>
      <c r="C4" s="17" t="s">
        <v>80</v>
      </c>
      <c r="D4" s="33" t="s">
        <v>81</v>
      </c>
    </row>
    <row r="5" spans="1:4" x14ac:dyDescent="0.25">
      <c r="A5" t="s">
        <v>43</v>
      </c>
      <c r="B5" s="18">
        <v>53014000000</v>
      </c>
      <c r="C5" s="18">
        <v>24159000000</v>
      </c>
      <c r="D5" s="8" t="s">
        <v>82</v>
      </c>
    </row>
    <row r="6" spans="1:4" x14ac:dyDescent="0.25">
      <c r="A6" t="s">
        <v>44</v>
      </c>
      <c r="B6" s="18">
        <v>7094000000</v>
      </c>
      <c r="C6" s="18">
        <v>-3138000000</v>
      </c>
      <c r="D6" s="8" t="s">
        <v>83</v>
      </c>
    </row>
    <row r="7" spans="1:4" x14ac:dyDescent="0.25">
      <c r="A7" t="s">
        <v>84</v>
      </c>
      <c r="B7" s="18">
        <v>-1829000000</v>
      </c>
      <c r="C7" s="18">
        <v>-1474000000</v>
      </c>
      <c r="D7" s="8" t="s">
        <v>85</v>
      </c>
    </row>
    <row r="8" spans="1:4" x14ac:dyDescent="0.25">
      <c r="A8" t="s">
        <v>86</v>
      </c>
      <c r="B8" s="18">
        <v>0</v>
      </c>
      <c r="C8" s="18">
        <v>0</v>
      </c>
      <c r="D8" s="8" t="s">
        <v>83</v>
      </c>
    </row>
    <row r="9" spans="1:4" x14ac:dyDescent="0.25">
      <c r="A9" t="s">
        <v>87</v>
      </c>
      <c r="B9" s="18">
        <v>-34353000000</v>
      </c>
      <c r="C9" s="18">
        <v>-11083000000</v>
      </c>
      <c r="D9" s="8" t="s">
        <v>88</v>
      </c>
    </row>
    <row r="10" spans="1:4" x14ac:dyDescent="0.25">
      <c r="A10" t="s">
        <v>89</v>
      </c>
      <c r="B10" s="18">
        <v>14675000000</v>
      </c>
      <c r="C10" s="18">
        <v>12356000000</v>
      </c>
      <c r="D10" s="8" t="s">
        <v>90</v>
      </c>
    </row>
    <row r="11" spans="1:4" x14ac:dyDescent="0.25">
      <c r="A11" t="s">
        <v>91</v>
      </c>
      <c r="B11" s="18">
        <v>26703000000</v>
      </c>
      <c r="C11" s="18">
        <v>19153000000</v>
      </c>
      <c r="D11" s="8" t="s">
        <v>92</v>
      </c>
    </row>
    <row r="12" spans="1:4" x14ac:dyDescent="0.25">
      <c r="A12" t="s">
        <v>32</v>
      </c>
      <c r="B12" s="34">
        <v>1708000000</v>
      </c>
      <c r="C12" s="34">
        <v>1913000000</v>
      </c>
      <c r="D12" s="8" t="s">
        <v>93</v>
      </c>
    </row>
    <row r="15" spans="1:1" x14ac:dyDescent="0.25">
      <c r="A15" s="19" t="s">
        <v>94</v>
      </c>
    </row>
    <row r="16" ht="54" customHeight="1" spans="1:4" x14ac:dyDescent="0.25">
      <c r="A16" s="35" t="s">
        <v>95</v>
      </c>
      <c r="B16" s="35"/>
      <c r="C16" s="35"/>
      <c r="D16" s="35"/>
    </row>
    <row r="17" ht="22" customHeight="1" spans="1:4" x14ac:dyDescent="0.25">
      <c r="A17" s="35" t="s">
        <v>96</v>
      </c>
      <c r="B17" s="35"/>
      <c r="C17" s="35"/>
      <c r="D17" s="35"/>
    </row>
    <row r="18" ht="22" customHeight="1" spans="1:4" x14ac:dyDescent="0.25">
      <c r="A18" s="35" t="s">
        <v>97</v>
      </c>
      <c r="B18" s="35"/>
      <c r="C18" s="35"/>
      <c r="D18" s="35"/>
    </row>
    <row r="19" ht="70" customHeight="1" spans="1:4" x14ac:dyDescent="0.25">
      <c r="A19" s="35" t="s">
        <v>98</v>
      </c>
      <c r="B19" s="35"/>
      <c r="C19" s="35"/>
      <c r="D19" s="35"/>
    </row>
    <row r="20" ht="54" customHeight="1" spans="1:4" x14ac:dyDescent="0.25">
      <c r="A20" s="35" t="s">
        <v>99</v>
      </c>
      <c r="B20" s="35"/>
      <c r="C20" s="35"/>
      <c r="D20" s="35"/>
    </row>
    <row r="21" ht="22" customHeight="1" spans="1:4" x14ac:dyDescent="0.25">
      <c r="A21" s="35" t="s">
        <v>100</v>
      </c>
      <c r="B21" s="35"/>
      <c r="C21" s="35"/>
      <c r="D21" s="35"/>
    </row>
    <row r="23" spans="1:1" x14ac:dyDescent="0.25">
      <c r="A23" s="36" t="s">
        <v>101</v>
      </c>
    </row>
  </sheetData>
  <mergeCells count="6">
    <mergeCell ref="A16:D16"/>
    <mergeCell ref="A17:D17"/>
    <mergeCell ref="A18:D18"/>
    <mergeCell ref="A19:D19"/>
    <mergeCell ref="A20:D20"/>
    <mergeCell ref="A21:D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