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<sst xmlns="http://schemas.openxmlformats.org/spreadsheetml/2006/main" count="114" uniqueCount="101">
  <si>
    <t>Magellan Financial Group Limited (MFG.AX)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</si>
  <si>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</si>
  <si>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</si>
  <si>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</si>
  <si>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</si>
  <si>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</si>
  <si>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</si>
  <si>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</si>
  <si>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</si>
  <si>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</si>
  <si>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</si>
  <si>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</si>
  <si>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</si>
  <si>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</si>
  <si>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</si>
  <si>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</si>
  <si>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</si>
  <si>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</si>
  <si>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</si>
  <si>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</si>
  <si>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</si>
  <si>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</si>
  <si>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</si>
  <si>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</si>
  <si>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</si>
  <si>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</si>
  <si>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</si>
  <si>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</si>
  <si>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</si>
  <si>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</si>
  <si>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</si>
  <si>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</si>
  <si>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</si>
  <si>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</si>
  <si>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</si>
  <si>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</si>
  <si>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</si>
  <si>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</si>
  <si>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</si>
  <si>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</si>
  <si>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</si>
  <si>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</si>
  <si>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</si>
  <si>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</si>
  <si>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</si>
  <si>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</si>
  <si>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</si>
  <si>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</si>
  <si>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</si>
  <si>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</si>
  <si>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</si>
  <si>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</si>
  <si>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</si>
  <si>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</si>
  <si>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</si>
  <si>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</si>
  <si>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</si>
  <si>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</si>
  <si>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</si>
  <si>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</si>
  <si>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</si>
  <si>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</si>
  <si>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</si>
  <si>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</si>
  <si>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</si>
  <si>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</si>
  <si>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</si>
  <si>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</si>
  <si>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</si>
  <si>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</si>
  <si>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</si>
  <si>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</si>
  <si>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</si>
  <si>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</si>
  <si>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</si>
  <si>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</si>
  <si>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</si>
  <si>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</si>
  <si>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</si>
  <si>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</si>
  <si>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</si>
  <si>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</si>
  <si>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</si>
  <si>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</si>
  <si>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</si>
  <si>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</si>
  <si>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</si>
  <si>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</si>
  <si>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</si>
  <si>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</si>
  <si>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</si>
  <si>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</si>
  <si>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</si>
  <si>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</si>
  <si>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</si>
  <si>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</si>
  <si>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</si>
  <si>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</si>
  <si>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</si>
  <si>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Reported capital expenditure averages just 0.08% of revenue, which is too low to be the company's real investment - property trusts and similar structures invest through lines that are not reported as capex. Capex has been set to 1.24%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</si>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</sst>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-0.23499293620764128</v>
      </c>
    </row>
    <row r="7" spans="1:2" x14ac:dyDescent="0.25">
      <c r="A7" t="s">
        <v>5</v>
      </c>
      <c r="B7" s="6">
        <v>0.6755729237824646</v>
      </c>
    </row>
    <row r="8" spans="1:2" x14ac:dyDescent="0.25">
      <c r="A8" t="s">
        <v>6</v>
      </c>
      <c r="B8" s="6">
        <v>0.28708208688600545</v>
      </c>
    </row>
    <row r="9" spans="1:2" x14ac:dyDescent="0.25">
      <c r="A9" t="s">
        <v>7</v>
      </c>
      <c r="B9" s="6">
        <v>0.012410464988300222</v>
      </c>
    </row>
    <row r="10" spans="1:2" x14ac:dyDescent="0.25">
      <c r="A10" t="s">
        <v>8</v>
      </c>
      <c r="B10" s="6">
        <v>0.012410464988300222</v>
      </c>
    </row>
    <row r="11" spans="1:2" x14ac:dyDescent="0.25">
      <c r="A11" t="s">
        <v>9</v>
      </c>
      <c r="B11" s="6">
        <v>0.20182684929717729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18.729428105927838</v>
      </c>
    </row>
    <row r="14" spans="1:3" x14ac:dyDescent="0.25">
      <c r="A14" t="s">
        <v>12</v>
      </c>
      <c r="B14" s="6">
        <v>0.1756908173508572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0.6113999999999999</v>
      </c>
      <c r="C19" s="8" t="s">
        <v>19</v>
      </c>
    </row>
    <row r="20" spans="1:2" x14ac:dyDescent="0.25">
      <c r="A20" t="s">
        <v>20</v>
      </c>
      <c r="B20" s="10">
        <f>B17+B19*B18</f>
        <v>0.090164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2472536832</v>
      </c>
    </row>
    <row r="23" spans="1:2" x14ac:dyDescent="0.25">
      <c r="A23" t="s">
        <v>24</v>
      </c>
      <c r="B23" s="11">
        <v>2022000</v>
      </c>
    </row>
    <row r="24" spans="1:2" x14ac:dyDescent="0.25">
      <c r="A24" t="s">
        <v>25</v>
      </c>
      <c r="B24" s="10">
        <f>B22/(B22+B23)</f>
        <v>0.9991828846524672</v>
      </c>
    </row>
    <row r="25" spans="1:2" x14ac:dyDescent="0.25">
      <c r="A25" t="s">
        <v>26</v>
      </c>
      <c r="B25" s="10">
        <f>1-B24</f>
        <v>0.0008171153475328152</v>
      </c>
    </row>
    <row r="26" spans="1:2" x14ac:dyDescent="0.25">
      <c r="A26" t="s">
        <v>27</v>
      </c>
      <c r="B26" s="12">
        <f>B24*B20+B25*B21*(1-B8)</f>
        <v>0.09012147964608769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190765000</v>
      </c>
      <c r="C29" s="8" t="s">
        <v>30</v>
      </c>
    </row>
    <row r="30" spans="1:2" x14ac:dyDescent="0.25">
      <c r="A30" t="s">
        <v>31</v>
      </c>
      <c r="B30" s="11">
        <v>-345829000</v>
      </c>
    </row>
    <row r="31" spans="1:2" x14ac:dyDescent="0.25">
      <c r="A31" t="s">
        <v>32</v>
      </c>
      <c r="B31" s="13">
        <v>175836000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-0.23499293620764128</v>
      </c>
      <c r="C5" s="10">
        <f>Assumptions!B6</f>
        <v>-0.23499293620764128</v>
      </c>
      <c r="D5" s="10">
        <f>Assumptions!B6</f>
        <v>-0.23499293620764128</v>
      </c>
      <c r="E5" s="10">
        <f>Assumptions!B6</f>
        <v>-0.23499293620764128</v>
      </c>
      <c r="F5" s="10">
        <f>Assumptions!B6</f>
        <v>-0.23499293620764128</v>
      </c>
    </row>
    <row r="6" spans="1:6" x14ac:dyDescent="0.25">
      <c r="A6" t="s">
        <v>43</v>
      </c>
      <c r="B6" s="18">
        <f>Assumptions!B29*(1+B5)</f>
        <v>145936572.5243493</v>
      </c>
      <c r="C6" s="18">
        <f>B6*(1+C5)</f>
        <v>111642508.84677307</v>
      </c>
      <c r="D6" s="18">
        <f>C6*(1+D5)</f>
        <v>85407307.8872823</v>
      </c>
      <c r="E6" s="18">
        <f>D6*(1+E5)</f>
        <v>65337193.83325979</v>
      </c>
      <c r="F6" s="18">
        <f>E6*(1+F5)</f>
        <v>49983414.81081428</v>
      </c>
    </row>
    <row r="7" spans="1:6" x14ac:dyDescent="0.25">
      <c r="A7" t="s">
        <v>5</v>
      </c>
      <c r="B7" s="10">
        <f>Assumptions!B7</f>
        <v>0.6755729237824646</v>
      </c>
      <c r="C7" s="10">
        <f>Assumptions!B7</f>
        <v>0.6755729237824646</v>
      </c>
      <c r="D7" s="10">
        <f>Assumptions!B7</f>
        <v>0.6755729237824646</v>
      </c>
      <c r="E7" s="10">
        <f>Assumptions!B7</f>
        <v>0.6755729237824646</v>
      </c>
      <c r="F7" s="10">
        <f>Assumptions!B7</f>
        <v>0.6755729237824646</v>
      </c>
    </row>
    <row r="8" spans="1:6" x14ac:dyDescent="0.25">
      <c r="A8" t="s">
        <v>44</v>
      </c>
      <c r="B8" s="18">
        <f>B6*B7</f>
        <v>98590796.98706634</v>
      </c>
      <c r="C8" s="18">
        <f>C6*C7</f>
        <v>75422656.12002416</v>
      </c>
      <c r="D8" s="18">
        <f>D6*D7</f>
        <v>57698864.70180045</v>
      </c>
      <c r="E8" s="18">
        <f>E6*E7</f>
        <v>44140039.069676936</v>
      </c>
      <c r="F8" s="18">
        <f>F6*F7</f>
        <v>33767441.68437354</v>
      </c>
    </row>
    <row r="9" spans="1:6" x14ac:dyDescent="0.25">
      <c r="A9" t="s">
        <v>45</v>
      </c>
      <c r="B9" s="18">
        <f>B8*(1-Assumptions!B8)</f>
        <v>70287145.24026483</v>
      </c>
      <c r="C9" s="18">
        <f>C8*(1-Assumptions!B8)</f>
        <v>53770162.60260207</v>
      </c>
      <c r="D9" s="18">
        <f>D8*(1-Assumptions!B8)</f>
        <v>41134554.2122543</v>
      </c>
      <c r="E9" s="18">
        <f>E8*(1-Assumptions!B8)</f>
        <v>31468224.538324267</v>
      </c>
      <c r="F9" s="18">
        <f>F8*(1-Assumptions!B8)</f>
        <v>24073414.056822095</v>
      </c>
    </row>
    <row r="10" spans="1:6" x14ac:dyDescent="0.25">
      <c r="A10" t="s">
        <v>46</v>
      </c>
      <c r="B10" s="18">
        <f>B6*Assumptions!B9</f>
        <v>1811140.7238259732</v>
      </c>
      <c r="C10" s="18">
        <f>C6*Assumptions!B9</f>
        <v>1385535.4472488752</v>
      </c>
      <c r="D10" s="18">
        <f>D6*Assumptions!B9</f>
        <v>1059944.4042800944</v>
      </c>
      <c r="E10" s="18">
        <f>E6*Assumptions!B9</f>
        <v>810864.9565014559</v>
      </c>
      <c r="F10" s="18">
        <f>F6*Assumptions!B9</f>
        <v>620317.4195052973</v>
      </c>
    </row>
    <row r="11" spans="1:6" x14ac:dyDescent="0.25">
      <c r="A11" t="s">
        <v>47</v>
      </c>
      <c r="B11" s="18">
        <f>-B6*Assumptions!B10</f>
        <v>-1811140.7238259732</v>
      </c>
      <c r="C11" s="18">
        <f>-C6*Assumptions!B10</f>
        <v>-1385535.4472488752</v>
      </c>
      <c r="D11" s="18">
        <f>-D6*Assumptions!B10</f>
        <v>-1059944.4042800944</v>
      </c>
      <c r="E11" s="18">
        <f>-E6*Assumptions!B10</f>
        <v>-810864.9565014559</v>
      </c>
      <c r="F11" s="18">
        <f>-F6*Assumptions!B10</f>
        <v>-620317.4195052973</v>
      </c>
    </row>
    <row r="12" spans="1:6" x14ac:dyDescent="0.25">
      <c r="A12" t="s">
        <v>48</v>
      </c>
      <c r="B12" s="18">
        <f>-(B6-Assumptions!B29)*Assumptions!B11</f>
        <v>9047580.276357595</v>
      </c>
      <c r="C12" s="18">
        <f>-(C6-B6)*Assumptions!B11</f>
        <v>6921462.821641979</v>
      </c>
      <c r="D12" s="18">
        <f>-(D6-C6)*Assumptions!B11</f>
        <v>5294967.950332305</v>
      </c>
      <c r="E12" s="18">
        <f>-(E6-D6)*Assumptions!B11</f>
        <v>4050687.88455836</v>
      </c>
      <c r="F12" s="18">
        <f>-(F6-E6)*Assumptions!B11</f>
        <v>3098804.844905273</v>
      </c>
    </row>
    <row r="13" spans="1:6" x14ac:dyDescent="0.25">
      <c r="A13" s="19" t="s">
        <v>49</v>
      </c>
      <c r="B13" s="20">
        <f>B9+B10+B11+B12</f>
        <v>79334725.51662242</v>
      </c>
      <c r="C13" s="20">
        <f>C9+C10+C11+C12</f>
        <v>60691625.42424405</v>
      </c>
      <c r="D13" s="20">
        <f>D9+D10+D11+D12</f>
        <v>46429522.16258661</v>
      </c>
      <c r="E13" s="20">
        <f>E9+E10+E11+E12</f>
        <v>35518912.422882624</v>
      </c>
      <c r="F13" s="20">
        <f>F9+F10+F11+F12</f>
        <v>27172218.901727367</v>
      </c>
    </row>
    <row r="14" spans="1:6" x14ac:dyDescent="0.25">
      <c r="A14" t="s">
        <v>50</v>
      </c>
      <c r="B14" s="21">
        <f>1/(1+Assumptions!$B$26)^(1-0.5*Assumptions!$B$32)</f>
        <v>0.9577729151875857</v>
      </c>
      <c r="C14" s="21">
        <f>1/(1+Assumptions!$B$26)^(2-0.5*Assumptions!$B$32)</f>
        <v>0.8785928293959775</v>
      </c>
      <c r="D14" s="21">
        <f>1/(1+Assumptions!$B$26)^(3-0.5*Assumptions!$B$32)</f>
        <v>0.805958643876292</v>
      </c>
      <c r="E14" s="21">
        <f>1/(1+Assumptions!$B$26)^(4-0.5*Assumptions!$B$32)</f>
        <v>0.739329202226113</v>
      </c>
      <c r="F14" s="21">
        <f>1/(1+Assumptions!$B$26)^(5-0.5*Assumptions!$B$32)</f>
        <v>0.678208086007203</v>
      </c>
    </row>
    <row r="15" spans="1:6" x14ac:dyDescent="0.25">
      <c r="A15" s="19" t="s">
        <v>51</v>
      </c>
      <c r="B15" s="20">
        <f>B13*B14</f>
        <v>75984651.33366239</v>
      </c>
      <c r="C15" s="20">
        <f>C13*C14</f>
        <v>53323226.90212742</v>
      </c>
      <c r="D15" s="20">
        <f>D13*D14</f>
        <v>37420274.717982545</v>
      </c>
      <c r="E15" s="20">
        <f>E13*E14</f>
        <v>26260169.185548984</v>
      </c>
      <c r="F15" s="20">
        <f>F13*F14</f>
        <v>18428418.57390926</v>
      </c>
    </row>
    <row r="17" spans="1:2" x14ac:dyDescent="0.25">
      <c r="A17" s="22" t="s">
        <v>52</v>
      </c>
      <c r="B17" s="23">
        <f>SUM(B15:F15)</f>
        <v>211416740.7132306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27172218.901727367</v>
      </c>
    </row>
    <row r="5" spans="1:2" x14ac:dyDescent="0.25">
      <c r="A5" t="s">
        <v>56</v>
      </c>
      <c r="B5" s="18">
        <f>IF(Assumptions!$B$33=0,B4,B4-Forecast!F11-Forecast!F10-Forecast!F12)</f>
        <v>24073414.056822095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0.14229542771193684</v>
      </c>
    </row>
    <row r="7" spans="1:2" x14ac:dyDescent="0.25">
      <c r="A7" t="s">
        <v>58</v>
      </c>
      <c r="B7" s="18">
        <f>-MAX(Forecast!F9,0)*B6</f>
        <v>-3425536.7497020527</v>
      </c>
    </row>
    <row r="8" spans="1:2" x14ac:dyDescent="0.25">
      <c r="A8" t="s">
        <v>59</v>
      </c>
      <c r="B8" s="18">
        <f>IF(OR(Assumptions!$B$33=0,Assumptions!B12&lt;=0),B5,MAX(B5+B7,0))</f>
        <v>20647877.307120044</v>
      </c>
    </row>
    <row r="9" spans="1:2" x14ac:dyDescent="0.25">
      <c r="A9" t="s">
        <v>60</v>
      </c>
      <c r="B9" s="18">
        <f>B8*(1+Assumptions!B12)/(Assumptions!B26-Assumptions!B12)</f>
        <v>324993755.5905875</v>
      </c>
    </row>
    <row r="10" spans="1:2" x14ac:dyDescent="0.25">
      <c r="A10" t="s">
        <v>61</v>
      </c>
      <c r="B10" s="18">
        <f>B9/(1+Assumptions!B26)^(5-0.5*Assumptions!B32)</f>
        <v>220413392.94338506</v>
      </c>
    </row>
    <row r="11" spans="1:2" x14ac:dyDescent="0.25">
      <c r="A11" t="s">
        <v>62</v>
      </c>
      <c r="B11" s="18">
        <f>Forecast!B17+B10</f>
        <v>431830133.6566157</v>
      </c>
    </row>
    <row r="12" spans="1:2" x14ac:dyDescent="0.25">
      <c r="A12" t="s">
        <v>63</v>
      </c>
      <c r="B12" s="18">
        <f>-Assumptions!B30</f>
        <v>345829000.00000006</v>
      </c>
    </row>
    <row r="13" spans="1:2" x14ac:dyDescent="0.25">
      <c r="A13" t="s">
        <v>64</v>
      </c>
      <c r="B13" s="18">
        <f>B11+B12</f>
        <v>777659133.6566157</v>
      </c>
    </row>
    <row r="14" spans="1:2" x14ac:dyDescent="0.25">
      <c r="A14" s="19" t="s">
        <v>65</v>
      </c>
      <c r="B14" s="24">
        <f>B13/Assumptions!B31</f>
        <v>4.422638900205963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34387759.10387884</v>
      </c>
    </row>
    <row r="18" spans="1:2" x14ac:dyDescent="0.25">
      <c r="A18" t="s">
        <v>60</v>
      </c>
      <c r="B18" s="18">
        <f>B17*Assumptions!B13</f>
        <v>644063061.8600643</v>
      </c>
    </row>
    <row r="19" spans="1:2" x14ac:dyDescent="0.25">
      <c r="A19" t="s">
        <v>61</v>
      </c>
      <c r="B19" s="18">
        <f>B18/(1+Assumptions!B26)^(5-0.5*Assumptions!B32)</f>
        <v>436808776.45205295</v>
      </c>
    </row>
    <row r="20" spans="1:2" x14ac:dyDescent="0.25">
      <c r="A20" t="s">
        <v>62</v>
      </c>
      <c r="B20" s="18">
        <f>Forecast!B17+B19</f>
        <v>648225517.1652836</v>
      </c>
    </row>
    <row r="21" spans="1:2" x14ac:dyDescent="0.25">
      <c r="A21" t="s">
        <v>63</v>
      </c>
      <c r="B21" s="18">
        <f>-Assumptions!B30</f>
        <v>345829000</v>
      </c>
    </row>
    <row r="22" spans="1:2" x14ac:dyDescent="0.25">
      <c r="A22" t="s">
        <v>64</v>
      </c>
      <c r="B22" s="18">
        <f>B20+B21</f>
        <v>994054517.1652836</v>
      </c>
    </row>
    <row r="23" spans="1:2" x14ac:dyDescent="0.25">
      <c r="A23" s="19" t="s">
        <v>65</v>
      </c>
      <c r="B23" s="25">
        <f>B22/Assumptions!B31</f>
        <v>5.653304881624261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8.45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4.422638900205963</v>
      </c>
    </row>
    <row r="29" spans="1:2" x14ac:dyDescent="0.25">
      <c r="A29" s="19" t="s">
        <v>73</v>
      </c>
      <c r="B29" s="12">
        <f>B28/B26-1</f>
        <v>-0.4766107810407144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0.070121</v>
      </c>
      <c r="B5" s="31">
        <v>4.910575772073434</v>
      </c>
      <c r="C5" s="31">
        <v>5.030894016142064</v>
      </c>
      <c r="D5" s="31">
        <v>5.177241409021991</v>
      </c>
      <c r="E5" s="31">
        <v>5.359349443751016</v>
      </c>
      <c r="F5" s="31">
        <v>5.592491308101027</v>
      </c>
    </row>
    <row r="6" spans="1:6" x14ac:dyDescent="0.25">
      <c r="A6" s="30">
        <v>0.080121</v>
      </c>
      <c r="B6" s="31">
        <v>4.569353345968357</v>
      </c>
      <c r="C6" s="31">
        <v>4.644730183108097</v>
      </c>
      <c r="D6" s="31">
        <v>4.733282116847889</v>
      </c>
      <c r="E6" s="31">
        <v>4.838952134139327</v>
      </c>
      <c r="F6" s="31">
        <v>4.967430961102726</v>
      </c>
    </row>
    <row r="7" spans="1:6" x14ac:dyDescent="0.25">
      <c r="A7" s="30">
        <v>0.090121</v>
      </c>
      <c r="B7" s="31">
        <v>4.316590487671931</v>
      </c>
      <c r="C7" s="31">
        <v>4.366028098960328</v>
      </c>
      <c r="D7" s="32">
        <v>4.422651581682987</v>
      </c>
      <c r="E7" s="31">
        <v>4.488253788113055</v>
      </c>
      <c r="F7" s="31">
        <v>4.565278085671499</v>
      </c>
    </row>
    <row r="8" spans="1:6" x14ac:dyDescent="0.25">
      <c r="A8" s="30">
        <v>0.100121</v>
      </c>
      <c r="B8" s="31">
        <v>4.121203472875815</v>
      </c>
      <c r="C8" s="31">
        <v>4.15465496297128</v>
      </c>
      <c r="D8" s="31">
        <v>4.192221863674012</v>
      </c>
      <c r="E8" s="31">
        <v>4.2347845269343365</v>
      </c>
      <c r="F8" s="31">
        <v>4.283493678913768</v>
      </c>
    </row>
    <row r="9" spans="1:6" x14ac:dyDescent="0.25">
      <c r="A9" s="30">
        <v>0.110121</v>
      </c>
      <c r="B9" s="31">
        <v>3.9651751543119667</v>
      </c>
      <c r="C9" s="31">
        <v>3.9882855850579535</v>
      </c>
      <c r="D9" s="31">
        <v>4.01382497133968</v>
      </c>
      <c r="E9" s="31">
        <v>4.042248054523783</v>
      </c>
      <c r="F9" s="31">
        <v>4.074130645016612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190765000</v>
      </c>
      <c r="C5" s="18">
        <v>313271000</v>
      </c>
      <c r="D5" s="18">
        <v>432681000</v>
      </c>
      <c r="E5" s="18">
        <v>426091000</v>
      </c>
      <c r="F5" s="8" t="s">
        <v>84</v>
      </c>
    </row>
    <row r="6" spans="1:6" x14ac:dyDescent="0.25">
      <c r="A6" t="s">
        <v>44</v>
      </c>
      <c r="B6" s="18">
        <v>111039000</v>
      </c>
      <c r="C6" s="18">
        <v>232053000</v>
      </c>
      <c r="D6" s="18">
        <v>337351000</v>
      </c>
      <c r="E6" s="18">
        <v>255570000</v>
      </c>
      <c r="F6" s="8" t="s">
        <v>85</v>
      </c>
    </row>
    <row r="7" spans="1:6" x14ac:dyDescent="0.25">
      <c r="A7" t="s">
        <v>86</v>
      </c>
      <c r="B7" s="18">
        <v>2510000</v>
      </c>
      <c r="C7" s="18">
        <v>4126000</v>
      </c>
      <c r="D7" s="18">
        <v>3958000</v>
      </c>
      <c r="E7" s="18">
        <v>6036000</v>
      </c>
      <c r="F7" s="8" t="s">
        <v>87</v>
      </c>
    </row>
    <row r="8" spans="1:6" x14ac:dyDescent="0.25">
      <c r="A8" t="s">
        <v>88</v>
      </c>
      <c r="B8" s="18">
        <v>198000</v>
      </c>
      <c r="C8" s="18">
        <v>324000</v>
      </c>
      <c r="D8" s="18">
        <v>458000</v>
      </c>
      <c r="E8" s="18">
        <v>112000</v>
      </c>
      <c r="F8" s="8" t="s">
        <v>89</v>
      </c>
    </row>
    <row r="9" spans="1:6" x14ac:dyDescent="0.25">
      <c r="A9" t="s">
        <v>90</v>
      </c>
      <c r="B9" s="18">
        <v>-24725000</v>
      </c>
      <c r="C9" s="18">
        <v>-16395000</v>
      </c>
      <c r="D9" s="18">
        <v>1693000</v>
      </c>
      <c r="E9" s="18">
        <v>0</v>
      </c>
      <c r="F9" s="8" t="s">
        <v>85</v>
      </c>
    </row>
    <row r="10" spans="1:6" x14ac:dyDescent="0.25">
      <c r="A10" t="s">
        <v>91</v>
      </c>
      <c r="B10" s="18">
        <v>2022000</v>
      </c>
      <c r="C10" s="18">
        <v>5110000</v>
      </c>
      <c r="D10" s="18">
        <v>7606000</v>
      </c>
      <c r="E10" s="18">
        <v>10172000</v>
      </c>
      <c r="F10" s="8" t="s">
        <v>92</v>
      </c>
    </row>
    <row r="11" spans="1:6" x14ac:dyDescent="0.25">
      <c r="A11" t="s">
        <v>93</v>
      </c>
      <c r="B11" s="18">
        <v>347851000</v>
      </c>
      <c r="C11" s="18">
        <v>168529000</v>
      </c>
      <c r="D11" s="18">
        <v>322567000</v>
      </c>
      <c r="E11" s="18">
        <v>373445000</v>
      </c>
      <c r="F11" s="8" t="s">
        <v>94</v>
      </c>
    </row>
    <row r="12" spans="1:6" x14ac:dyDescent="0.25">
      <c r="A12" t="s">
        <v>32</v>
      </c>
      <c r="B12" s="34">
        <v>175836000</v>
      </c>
      <c r="C12" s="34">
        <v>177932000</v>
      </c>
      <c r="D12" s="34">
        <v>181088000</v>
      </c>
      <c r="E12" s="34">
        <v>182569000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22" customHeight="1" spans="1:6" x14ac:dyDescent="0.25">
      <c r="A17" s="35" t="s">
        <v>98</v>
      </c>
      <c r="B17" s="35"/>
      <c r="C17" s="35"/>
      <c r="D17" s="35"/>
      <c r="E17" s="35"/>
      <c r="F17" s="35"/>
    </row>
    <row r="18" ht="86" customHeight="1" spans="1:6" x14ac:dyDescent="0.25">
      <c r="A18" s="35" t="s">
        <v>99</v>
      </c>
      <c r="B18" s="35"/>
      <c r="C18" s="35"/>
      <c r="D18" s="35"/>
      <c r="E18" s="35"/>
      <c r="F18" s="35"/>
    </row>
    <row r="20" spans="1:1" x14ac:dyDescent="0.25">
      <c r="A20" s="36" t="s">
        <v>100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2026-09-19T01:04:03Z</dcterms:modified>
</cp:coreProperties>
</file>