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Assumptions" state="visible" r:id="rId4"/>
    <sheet sheetId="2" name="Forecast" state="visible" r:id="rId5"/>
    <sheet sheetId="3" name="Valuation" state="visible" r:id="rId6"/>
    <sheet sheetId="4" name="Sensitivity" state="visible" r:id="rId7"/>
    <sheet sheetId="5" name="Source data" state="visible" r:id="rId8"/>
  </sheets>
  <calcPr calcId="171027" fullCalcOnLoad="1"/>
</workbook>
</file>

<file path=xl/sharedStrings.xml><?xml version="1.0" encoding="utf-8"?>
<sst xmlns="http://schemas.openxmlformats.org/spreadsheetml/2006/main" count="113" uniqueCount="101">
  <si>
    <t>Mainfreight Limited (MFT.NZ)</t>
  </si>
  <si>
    <t>DCF Studio - Base case</t>
  </si>
  <si>
    <t>Blue figures on a cream fill are inputs. Every other figure is a formula - change an input and the model reprices. Currency figures are NZD millions unless the row says otherwise.</t>
  </si>
  <si>
    <t>Drivers</t>
  </si>
  <si>
    <t>Revenue growth</t>
  </si>
  <si>
    <t>EBIT margin</t>
  </si>
  <si>
    <t>Tax rate</t>
  </si>
  <si>
    <t>Depreciation &amp; amortisation, % of revenue</t>
  </si>
  <si>
    <t>Capital expenditure, % of revenue</t>
  </si>
  <si>
    <t>Change in working capital, % of revenue growth</t>
  </si>
  <si>
    <t>Terminal growth</t>
  </si>
  <si>
    <t>Exit EV/EBITDA</t>
  </si>
  <si>
    <t>Terminal ROIC</t>
  </si>
  <si>
    <t>From reported invested capital</t>
  </si>
  <si>
    <t>Discount rate</t>
  </si>
  <si>
    <t>Risk-free rate</t>
  </si>
  <si>
    <t>NZD assumption - no free live source available for this market</t>
  </si>
  <si>
    <t>Equity risk premium</t>
  </si>
  <si>
    <t>Beta</t>
  </si>
  <si>
    <t>As reported</t>
  </si>
  <si>
    <t>Cost of equity</t>
  </si>
  <si>
    <t>Cost of debt</t>
  </si>
  <si>
    <t>Floored at the risk-free rate (implied cost of debt was lower)</t>
  </si>
  <si>
    <t>Market capitalisation (NZD m)</t>
  </si>
  <si>
    <t>Total debt (NZD m)</t>
  </si>
  <si>
    <t>Equity weight</t>
  </si>
  <si>
    <t>Debt weight</t>
  </si>
  <si>
    <t>WACC</t>
  </si>
  <si>
    <t>Base year</t>
  </si>
  <si>
    <t>Revenue, last reported year (NZD m)</t>
  </si>
  <si>
    <t>Fiscal year ended 2026-03-31</t>
  </si>
  <si>
    <t>Net debt (NZD m)</t>
  </si>
  <si>
    <t>Diluted shares</t>
  </si>
  <si>
    <t>Mid-year discounting (1 = yes, 0 = no)</t>
  </si>
  <si>
    <t>Terminal year on a steady-state footing (1 = yes, 0 = no)</t>
  </si>
  <si>
    <t>Forecast cashflows (NZD m)</t>
  </si>
  <si>
    <t>Every figure below is a formula. Edit the drivers on Assumptions.</t>
  </si>
  <si>
    <t>Year</t>
  </si>
  <si>
    <t>FY27</t>
  </si>
  <si>
    <t>FY28</t>
  </si>
  <si>
    <t>FY29</t>
  </si>
  <si>
    <t>FY30</t>
  </si>
  <si>
    <t>FY31</t>
  </si>
  <si>
    <t>Revenue</t>
  </si>
  <si>
    <t>EBIT</t>
  </si>
  <si>
    <t>NOPAT</t>
  </si>
  <si>
    <t>Add depreciation &amp; amortisation</t>
  </si>
  <si>
    <t>Less capital expenditure</t>
  </si>
  <si>
    <t>Less increase in working capital</t>
  </si>
  <si>
    <t>Free cashflow to firm</t>
  </si>
  <si>
    <t>Discount factor</t>
  </si>
  <si>
    <t>Present value</t>
  </si>
  <si>
    <t>Present value of the explicit forecast</t>
  </si>
  <si>
    <t>Valuation (NZD m, except per share)</t>
  </si>
  <si>
    <t>Terminal value - perpetuity growth</t>
  </si>
  <si>
    <t>Final year free cashflow</t>
  </si>
  <si>
    <t>Net operating profit after tax (capex at depreciation)</t>
  </si>
  <si>
    <t>Reinvestment rate (g / ROIC)</t>
  </si>
  <si>
    <t>Less reinvestment to fund terminal growth</t>
  </si>
  <si>
    <t>Cashflow capitalised</t>
  </si>
  <si>
    <t>Terminal value, undiscounted</t>
  </si>
  <si>
    <t>Terminal value, discounted</t>
  </si>
  <si>
    <t>Enterprise value</t>
  </si>
  <si>
    <t>Less net debt</t>
  </si>
  <si>
    <t>Equity value</t>
  </si>
  <si>
    <t>Value per share</t>
  </si>
  <si>
    <t>Terminal value - exit multiple</t>
  </si>
  <si>
    <t>Final year EBITDA</t>
  </si>
  <si>
    <t>Against the market</t>
  </si>
  <si>
    <t>Market price (NZD)</t>
  </si>
  <si>
    <t>Conversion, NZD to NZD</t>
  </si>
  <si>
    <t>Same currency, no conversion</t>
  </si>
  <si>
    <t>Value per share (NZD)</t>
  </si>
  <si>
    <t>Implied upside</t>
  </si>
  <si>
    <t>Value per share (NZD) by WACC and terminal growth</t>
  </si>
  <si>
    <t>WACC down the side, terminal growth across the top. Static grid: computed by DCF Studio, not linked to the sheets above. A live data table needs Excel to build it (Data &gt; What-If &gt; Data Table).</t>
  </si>
  <si>
    <t>Reported history and provenance (NZD m, except shares)</t>
  </si>
  <si>
    <t>What the model was built from. "derived" means the figure was not reported and was computed - the note says how.</t>
  </si>
  <si>
    <t>Fiscal year end</t>
  </si>
  <si>
    <t>2026-03-31</t>
  </si>
  <si>
    <t>2025-03-31</t>
  </si>
  <si>
    <t>2024-03-31</t>
  </si>
  <si>
    <t>2023-03-31</t>
  </si>
  <si>
    <t>Yahoo field, latest year</t>
  </si>
  <si>
    <t>totalRevenue</t>
  </si>
  <si>
    <t>operatingIncome</t>
  </si>
  <si>
    <t>Depreciation &amp; amortisation</t>
  </si>
  <si>
    <t>reconciledDepreciation</t>
  </si>
  <si>
    <t>Capital expenditure</t>
  </si>
  <si>
    <t>capitalExpenditure</t>
  </si>
  <si>
    <t>Change in working capital</t>
  </si>
  <si>
    <t>derived</t>
  </si>
  <si>
    <t>Total debt</t>
  </si>
  <si>
    <t>totalDebt</t>
  </si>
  <si>
    <t>Cash and equivalents</t>
  </si>
  <si>
    <t>cashCashEquivalentsAndShortTermInvestments</t>
  </si>
  <si>
    <t>dilutedAverageShares</t>
  </si>
  <si>
    <t>Model notes</t>
  </si>
  <si>
    <t>Adjusted: Some line items were not reported and have been derived. Each one is labelled in the workings below.</t>
  </si>
  <si>
    <t>Note: Risk-free rate is an assumption: NZD assumption - no free live source available for this market.</t>
  </si>
  <si>
    <t>Data: Yahoo Finance. Risk-free rate: NZD assumption - no free live source available for this market. General information, not advice.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</si>
</sst>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64" formatCode="0.0&quot;x&quot;"/>
    <numFmt numFmtId="165" formatCode="0.000"/>
    <numFmt numFmtId="166" formatCode="#,##0.0,,;[Red](#,##0.0,,)"/>
    <numFmt numFmtId="167" formatCode="0.0000"/>
    <numFmt numFmtId="168" formatCode="#,##0.00;[Red](#,##0.00)"/>
  </numFmts>
  <fonts count="10" x14ac:knownFonts="1">
    <font>
      <color theme="1"/>
      <family val="2"/>
      <scheme val="minor"/>
      <sz val="11"/>
      <name val="Calibri"/>
    </font>
    <font>
      <b/>
      <sz val="14"/>
    </font>
    <font>
      <color rgb="FF666666"/>
    </font>
    <font>
      <i/>
      <color rgb="FF666666"/>
      <sz val="9"/>
    </font>
    <font>
      <b/>
      <sz val="11"/>
    </font>
    <font>
      <color rgb="FF0000CC"/>
    </font>
    <font>
      <color rgb="FF666666"/>
      <sz val="9"/>
    </font>
    <font>
      <b/>
    </font>
    <font>
      <b/>
      <sz val="12"/>
    </font>
    <font>
      <b/>
      <sz val="9"/>
    </font>
  </fonts>
  <fills count="3">
    <fill>
      <patternFill patternType="none"/>
    </fill>
    <fill>
      <patternFill patternType="gray125"/>
    </fill>
    <fill>
      <patternFill patternType="solid">
        <fgColor rgb="FFFDF6E3"/>
      </patternFill>
    </fill>
  </fills>
  <borders count="6">
    <border>
      <left/>
      <right/>
      <top/>
      <bottom/>
      <diagonal/>
    </border>
    <border>
      <left/>
      <right/>
      <top/>
      <bottom style="thin"/>
      <diagonal/>
    </border>
    <border>
      <left/>
      <right/>
      <top style="thin"/>
      <bottom/>
      <diagonal/>
    </border>
    <border>
      <left/>
      <right/>
      <top style="thin"/>
      <bottom style="double"/>
      <diagonal/>
    </border>
    <border>
      <left/>
      <right style="thin"/>
      <top/>
      <bottom/>
      <diagonal/>
    </border>
    <border>
      <left style="medium"/>
      <right style="medium"/>
      <top style="medium"/>
      <bottom style="medium"/>
      <diagonal/>
    </border>
  </borders>
  <cellStyleXfs count="1">
    <xf numFmtId="0" fontId="0" fillId="0" borderId="0"/>
  </cellStyleXfs>
  <cellXfs count="37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0" borderId="1" xfId="0" applyFont="1" applyBorder="1"/>
    <xf numFmtId="0" fontId="0" fillId="0" borderId="1" xfId="0" applyBorder="1"/>
    <xf numFmtId="10" fontId="5" fillId="2" borderId="0" xfId="0" applyNumberFormat="1" applyFont="1" applyFill="1"/>
    <xf numFmtId="164" fontId="5" fillId="2" borderId="0" xfId="0" applyNumberFormat="1" applyFont="1" applyFill="1"/>
    <xf numFmtId="0" fontId="6" fillId="0" borderId="0" xfId="0" applyFont="1" applyAlignment="1">
      <alignment indent="1"/>
    </xf>
    <xf numFmtId="165" fontId="5" fillId="2" borderId="0" xfId="0" applyNumberFormat="1" applyFont="1" applyFill="1"/>
    <xf numFmtId="10" fontId="0" fillId="0" borderId="0" xfId="0" applyNumberFormat="1"/>
    <xf numFmtId="166" fontId="5" fillId="2" borderId="0" xfId="0" applyNumberFormat="1" applyFont="1" applyFill="1"/>
    <xf numFmtId="10" fontId="7" fillId="0" borderId="0" xfId="0" applyNumberFormat="1" applyFont="1"/>
    <xf numFmtId="3" fontId="5" fillId="2" borderId="0" xfId="0" applyNumberFormat="1" applyFont="1" applyFill="1"/>
    <xf numFmtId="1" fontId="5" fillId="2" borderId="0" xfId="0" applyNumberFormat="1" applyFont="1" applyFill="1"/>
    <xf numFmtId="0" fontId="8" fillId="0" borderId="0" xfId="0" applyFont="1"/>
    <xf numFmtId="0" fontId="7" fillId="0" borderId="1" xfId="0" applyFont="1" applyBorder="1"/>
    <xf numFmtId="0" fontId="7" fillId="0" borderId="1" xfId="0" applyFont="1" applyBorder="1" applyAlignment="1">
      <alignment horizontal="right"/>
    </xf>
    <xf numFmtId="166" fontId="0" fillId="0" borderId="0" xfId="0" applyNumberFormat="1"/>
    <xf numFmtId="0" fontId="7" fillId="0" borderId="0" xfId="0" applyFont="1"/>
    <xf numFmtId="166" fontId="7" fillId="0" borderId="0" xfId="0" applyNumberFormat="1" applyFont="1"/>
    <xf numFmtId="167" fontId="0" fillId="0" borderId="0" xfId="0" applyNumberFormat="1"/>
    <xf numFmtId="0" fontId="7" fillId="0" borderId="2" xfId="0" applyFont="1" applyBorder="1"/>
    <xf numFmtId="166" fontId="7" fillId="0" borderId="3" xfId="0" applyNumberFormat="1" applyFont="1" applyBorder="1"/>
    <xf numFmtId="168" fontId="8" fillId="0" borderId="0" xfId="0" applyNumberFormat="1" applyFont="1"/>
    <xf numFmtId="168" fontId="7" fillId="0" borderId="0" xfId="0" applyNumberFormat="1" applyFont="1"/>
    <xf numFmtId="168" fontId="5" fillId="2" borderId="0" xfId="0" applyNumberFormat="1" applyFont="1" applyFill="1"/>
    <xf numFmtId="167" fontId="5" fillId="2" borderId="0" xfId="0" applyNumberFormat="1" applyFont="1" applyFill="1"/>
    <xf numFmtId="168" fontId="0" fillId="0" borderId="0" xfId="0" applyNumberFormat="1"/>
    <xf numFmtId="10" fontId="7" fillId="0" borderId="1" xfId="0" applyNumberFormat="1" applyFont="1" applyBorder="1" applyAlignment="1">
      <alignment horizontal="right"/>
    </xf>
    <xf numFmtId="10" fontId="7" fillId="0" borderId="4" xfId="0" applyNumberFormat="1" applyFont="1" applyBorder="1"/>
    <xf numFmtId="168" fontId="0" fillId="0" borderId="0" xfId="0" applyNumberFormat="1" applyAlignment="1">
      <alignment horizontal="right"/>
    </xf>
    <xf numFmtId="168" fontId="7" fillId="0" borderId="5" xfId="0" applyNumberFormat="1" applyFont="1" applyBorder="1" applyAlignment="1">
      <alignment horizontal="right"/>
    </xf>
    <xf numFmtId="0" fontId="9" fillId="0" borderId="1" xfId="0" applyFont="1" applyBorder="1" applyAlignment="1">
      <alignment indent="1"/>
    </xf>
    <xf numFmtId="3" fontId="0" fillId="0" borderId="0" xfId="0" applyNumberFormat="1"/>
    <xf numFmtId="0" fontId="0" fillId="0" borderId="0" xfId="0" applyAlignment="1">
      <alignment vertical="top" wrapText="1"/>
    </xf>
    <xf numFmtId="0" fontId="6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3"/>
  <sheetViews>
    <sheetView workbookViewId="0" showGridLines="0"/>
  </sheetViews>
  <sheetFormatPr defaultRowHeight="15" outlineLevelRow="0" outlineLevelCol="0" x14ac:dyDescent="55"/>
  <cols>
    <col min="1" max="1" width="40" customWidth="1"/>
    <col min="2" max="2" width="16" customWidth="1"/>
    <col min="3" max="3" width="52" customWidth="1"/>
  </cols>
  <sheetData>
    <row r="1" spans="1:1" x14ac:dyDescent="0.25">
      <c r="A1" s="1" t="s">
        <v>0</v>
      </c>
    </row>
    <row r="2" spans="1:1" x14ac:dyDescent="0.25">
      <c r="A2" s="2" t="s">
        <v>1</v>
      </c>
    </row>
    <row r="3" spans="1:1" x14ac:dyDescent="0.25">
      <c r="A3" s="3" t="s">
        <v>2</v>
      </c>
    </row>
    <row r="5" spans="1:3" x14ac:dyDescent="0.25">
      <c r="A5" s="4" t="s">
        <v>3</v>
      </c>
      <c r="B5" s="5"/>
      <c r="C5" s="5"/>
    </row>
    <row r="6" spans="1:2" x14ac:dyDescent="0.25">
      <c r="A6" t="s">
        <v>4</v>
      </c>
      <c r="B6" s="6">
        <v>-0.017463400684535446</v>
      </c>
    </row>
    <row r="7" spans="1:2" x14ac:dyDescent="0.25">
      <c r="A7" t="s">
        <v>5</v>
      </c>
      <c r="B7" s="6">
        <v>0.08928161613223906</v>
      </c>
    </row>
    <row r="8" spans="1:2" x14ac:dyDescent="0.25">
      <c r="A8" t="s">
        <v>6</v>
      </c>
      <c r="B8" s="6">
        <v>0.28</v>
      </c>
    </row>
    <row r="9" spans="1:2" x14ac:dyDescent="0.25">
      <c r="A9" t="s">
        <v>7</v>
      </c>
      <c r="B9" s="6">
        <v>0.05802947475521829</v>
      </c>
    </row>
    <row r="10" spans="1:2" x14ac:dyDescent="0.25">
      <c r="A10" t="s">
        <v>8</v>
      </c>
      <c r="B10" s="6">
        <v>0.05013328701553899</v>
      </c>
    </row>
    <row r="11" spans="1:2" x14ac:dyDescent="0.25">
      <c r="A11" t="s">
        <v>9</v>
      </c>
      <c r="B11" s="6">
        <v>0.03272012818115035</v>
      </c>
    </row>
    <row r="12" spans="1:2" x14ac:dyDescent="0.25">
      <c r="A12" t="s">
        <v>10</v>
      </c>
      <c r="B12" s="6">
        <v>0.025</v>
      </c>
    </row>
    <row r="13" spans="1:2" x14ac:dyDescent="0.25">
      <c r="A13" t="s">
        <v>11</v>
      </c>
      <c r="B13" s="7">
        <v>10.292998344357787</v>
      </c>
    </row>
    <row r="14" spans="1:3" x14ac:dyDescent="0.25">
      <c r="A14" t="s">
        <v>12</v>
      </c>
      <c r="B14" s="6">
        <v>0.14732216523096775</v>
      </c>
      <c r="C14" s="8" t="s">
        <v>13</v>
      </c>
    </row>
    <row r="16" spans="1:3" x14ac:dyDescent="0.25">
      <c r="A16" s="4" t="s">
        <v>14</v>
      </c>
      <c r="B16" s="5"/>
      <c r="C16" s="5"/>
    </row>
    <row r="17" spans="1:3" x14ac:dyDescent="0.25">
      <c r="A17" t="s">
        <v>15</v>
      </c>
      <c r="B17" s="6">
        <v>0.045</v>
      </c>
      <c r="C17" s="8" t="s">
        <v>16</v>
      </c>
    </row>
    <row r="18" spans="1:2" x14ac:dyDescent="0.25">
      <c r="A18" t="s">
        <v>17</v>
      </c>
      <c r="B18" s="6">
        <v>0.065</v>
      </c>
    </row>
    <row r="19" spans="1:3" x14ac:dyDescent="0.25">
      <c r="A19" t="s">
        <v>18</v>
      </c>
      <c r="B19" s="9">
        <v>0.81173</v>
      </c>
      <c r="C19" s="8" t="s">
        <v>19</v>
      </c>
    </row>
    <row r="20" spans="1:2" x14ac:dyDescent="0.25">
      <c r="A20" t="s">
        <v>20</v>
      </c>
      <c r="B20" s="10">
        <f>B17+B19*B18</f>
        <v>0.09776245</v>
      </c>
    </row>
    <row r="21" spans="1:3" x14ac:dyDescent="0.25">
      <c r="A21" t="s">
        <v>21</v>
      </c>
      <c r="B21" s="6">
        <v>0.045</v>
      </c>
      <c r="C21" s="8" t="s">
        <v>22</v>
      </c>
    </row>
    <row r="22" spans="1:2" x14ac:dyDescent="0.25">
      <c r="A22" t="s">
        <v>23</v>
      </c>
      <c r="B22" s="11">
        <v>6553461760</v>
      </c>
    </row>
    <row r="23" spans="1:2" x14ac:dyDescent="0.25">
      <c r="A23" t="s">
        <v>24</v>
      </c>
      <c r="B23" s="11">
        <v>1429615000</v>
      </c>
    </row>
    <row r="24" spans="1:2" x14ac:dyDescent="0.25">
      <c r="A24" t="s">
        <v>25</v>
      </c>
      <c r="B24" s="10">
        <f>B22/(B22+B23)</f>
        <v>0.8209192967850155</v>
      </c>
    </row>
    <row r="25" spans="1:2" x14ac:dyDescent="0.25">
      <c r="A25" t="s">
        <v>26</v>
      </c>
      <c r="B25" s="10">
        <f>1-B24</f>
        <v>0.17908070321498448</v>
      </c>
    </row>
    <row r="26" spans="1:2" x14ac:dyDescent="0.25">
      <c r="A26" t="s">
        <v>27</v>
      </c>
      <c r="B26" s="12">
        <f>B24*B20+B25*B21*(1-B8)</f>
        <v>0.08605729649014573</v>
      </c>
    </row>
    <row r="28" spans="1:3" x14ac:dyDescent="0.25">
      <c r="A28" s="4" t="s">
        <v>28</v>
      </c>
      <c r="B28" s="5"/>
      <c r="C28" s="5"/>
    </row>
    <row r="29" spans="1:3" x14ac:dyDescent="0.25">
      <c r="A29" t="s">
        <v>29</v>
      </c>
      <c r="B29" s="11">
        <v>5383520000</v>
      </c>
      <c r="C29" s="8" t="s">
        <v>30</v>
      </c>
    </row>
    <row r="30" spans="1:2" x14ac:dyDescent="0.25">
      <c r="A30" t="s">
        <v>31</v>
      </c>
      <c r="B30" s="11">
        <v>1267426000</v>
      </c>
    </row>
    <row r="31" spans="1:2" x14ac:dyDescent="0.25">
      <c r="A31" t="s">
        <v>32</v>
      </c>
      <c r="B31" s="13">
        <v>100698548</v>
      </c>
    </row>
    <row r="32" spans="1:2" x14ac:dyDescent="0.25">
      <c r="A32" t="s">
        <v>33</v>
      </c>
      <c r="B32" s="14">
        <v>1</v>
      </c>
    </row>
    <row r="33" spans="1:2" x14ac:dyDescent="0.25">
      <c r="A33" t="s">
        <v>34</v>
      </c>
      <c r="B33" s="14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7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42" customWidth="1"/>
    <col min="2" max="6" width="15" customWidth="1"/>
  </cols>
  <sheetData>
    <row r="1" spans="1:1" x14ac:dyDescent="0.25">
      <c r="A1" s="15" t="s">
        <v>35</v>
      </c>
    </row>
    <row r="2" spans="1:1" x14ac:dyDescent="0.25">
      <c r="A2" s="3" t="s">
        <v>36</v>
      </c>
    </row>
    <row r="4" spans="1:6" x14ac:dyDescent="0.25">
      <c r="A4" s="16" t="s">
        <v>37</v>
      </c>
      <c r="B4" s="17" t="s">
        <v>38</v>
      </c>
      <c r="C4" s="17" t="s">
        <v>39</v>
      </c>
      <c r="D4" s="17" t="s">
        <v>40</v>
      </c>
      <c r="E4" s="17" t="s">
        <v>41</v>
      </c>
      <c r="F4" s="17" t="s">
        <v>42</v>
      </c>
    </row>
    <row r="5" spans="1:6" x14ac:dyDescent="0.25">
      <c r="A5" t="s">
        <v>4</v>
      </c>
      <c r="B5" s="10">
        <f>Assumptions!B6</f>
        <v>-0.017463400684535446</v>
      </c>
      <c r="C5" s="10">
        <f>Assumptions!B6</f>
        <v>-0.017463400684535446</v>
      </c>
      <c r="D5" s="10">
        <f>Assumptions!B6</f>
        <v>-0.017463400684535446</v>
      </c>
      <c r="E5" s="10">
        <f>Assumptions!B6</f>
        <v>-0.017463400684535446</v>
      </c>
      <c r="F5" s="10">
        <f>Assumptions!B6</f>
        <v>-0.017463400684535446</v>
      </c>
    </row>
    <row r="6" spans="1:6" x14ac:dyDescent="0.25">
      <c r="A6" t="s">
        <v>43</v>
      </c>
      <c r="B6" s="18">
        <f>Assumptions!B29*(1+B5)</f>
        <v>5289505433.14679</v>
      </c>
      <c r="C6" s="18">
        <f>B6*(1+C5)</f>
        <v>5197132680.34472</v>
      </c>
      <c r="D6" s="18">
        <f>C6*(1+D5)</f>
        <v>5106373069.937166</v>
      </c>
      <c r="E6" s="18">
        <f>D6*(1+E5)</f>
        <v>5017198430.972132</v>
      </c>
      <c r="F6" s="18">
        <f>E6*(1+F5)</f>
        <v>4929581084.458242</v>
      </c>
    </row>
    <row r="7" spans="1:6" x14ac:dyDescent="0.25">
      <c r="A7" t="s">
        <v>5</v>
      </c>
      <c r="B7" s="10">
        <f>Assumptions!B7</f>
        <v>0.08928161613223906</v>
      </c>
      <c r="C7" s="10">
        <f>Assumptions!B7</f>
        <v>0.08928161613223906</v>
      </c>
      <c r="D7" s="10">
        <f>Assumptions!B7</f>
        <v>0.08928161613223906</v>
      </c>
      <c r="E7" s="10">
        <f>Assumptions!B7</f>
        <v>0.08928161613223906</v>
      </c>
      <c r="F7" s="10">
        <f>Assumptions!B7</f>
        <v>0.08928161613223906</v>
      </c>
    </row>
    <row r="8" spans="1:6" x14ac:dyDescent="0.25">
      <c r="A8" t="s">
        <v>44</v>
      </c>
      <c r="B8" s="18">
        <f>B6*B7</f>
        <v>472255593.6116046</v>
      </c>
      <c r="C8" s="18">
        <f>C6*C7</f>
        <v>464008404.954852</v>
      </c>
      <c r="D8" s="18">
        <f>D6*D7</f>
        <v>455905240.2581332</v>
      </c>
      <c r="E8" s="18">
        <f>E6*E7</f>
        <v>447943584.373326</v>
      </c>
      <c r="F8" s="18">
        <f>F6*F7</f>
        <v>440120966.07534754</v>
      </c>
    </row>
    <row r="9" spans="1:6" x14ac:dyDescent="0.25">
      <c r="A9" t="s">
        <v>45</v>
      </c>
      <c r="B9" s="18">
        <f>B8*(1-Assumptions!B8)</f>
        <v>340024027.4003553</v>
      </c>
      <c r="C9" s="18">
        <f>C8*(1-Assumptions!B8)</f>
        <v>334086051.56749344</v>
      </c>
      <c r="D9" s="18">
        <f>D8*(1-Assumptions!B8)</f>
        <v>328251772.9858559</v>
      </c>
      <c r="E9" s="18">
        <f>E8*(1-Assumptions!B8)</f>
        <v>322519380.74879473</v>
      </c>
      <c r="F9" s="18">
        <f>F8*(1-Assumptions!B8)</f>
        <v>316887095.5742502</v>
      </c>
    </row>
    <row r="10" spans="1:6" x14ac:dyDescent="0.25">
      <c r="A10" t="s">
        <v>46</v>
      </c>
      <c r="B10" s="18">
        <f>B6*Assumptions!B9</f>
        <v>306947222.0003816</v>
      </c>
      <c r="C10" s="18">
        <f>C6*Assumptions!B9</f>
        <v>301586879.67358387</v>
      </c>
      <c r="D10" s="18">
        <f>D6*Assumptions!B9</f>
        <v>296320147.1526453</v>
      </c>
      <c r="E10" s="18">
        <f>E6*Assumptions!B9</f>
        <v>291145389.69201815</v>
      </c>
      <c r="F10" s="18">
        <f>F6*Assumptions!B9</f>
        <v>286061001.0943712</v>
      </c>
    </row>
    <row r="11" spans="1:6" x14ac:dyDescent="0.25">
      <c r="A11" t="s">
        <v>47</v>
      </c>
      <c r="B11" s="18">
        <f>-B6*Assumptions!B10</f>
        <v>-265180294.0502009</v>
      </c>
      <c r="C11" s="18">
        <f>-C6*Assumptions!B10</f>
        <v>-260549344.3215593</v>
      </c>
      <c r="D11" s="18">
        <f>-D6*Assumptions!B10</f>
        <v>-255999266.72357893</v>
      </c>
      <c r="E11" s="18">
        <f>-E6*Assumptions!B10</f>
        <v>-251528648.95383778</v>
      </c>
      <c r="F11" s="18">
        <f>-F6*Assumptions!B10</f>
        <v>-247136103.37351704</v>
      </c>
    </row>
    <row r="12" spans="1:6" x14ac:dyDescent="0.25">
      <c r="A12" t="s">
        <v>48</v>
      </c>
      <c r="B12" s="18">
        <f>-(B6-Assumptions!B29)*Assumptions!B11</f>
        <v>3076168.678332375</v>
      </c>
      <c r="C12" s="18">
        <f>-(C6-B6)*Assumptions!B11</f>
        <v>3022448.3121294347</v>
      </c>
      <c r="D12" s="18">
        <f>-(D6-C6)*Assumptions!B11</f>
        <v>2969666.0862064236</v>
      </c>
      <c r="E12" s="18">
        <f>-(E6-D6)*Assumptions!B11</f>
        <v>2917805.6174437334</v>
      </c>
      <c r="F12" s="18">
        <f>-(F6-E6)*Assumptions!B11</f>
        <v>2866850.8088267255</v>
      </c>
    </row>
    <row r="13" spans="1:6" x14ac:dyDescent="0.25">
      <c r="A13" s="19" t="s">
        <v>49</v>
      </c>
      <c r="B13" s="20">
        <f>B9+B10+B11+B12</f>
        <v>384867124.02886826</v>
      </c>
      <c r="C13" s="20">
        <f>C9+C10+C11+C12</f>
        <v>378146035.23164743</v>
      </c>
      <c r="D13" s="20">
        <f>D9+D10+D11+D12</f>
        <v>371542319.5011287</v>
      </c>
      <c r="E13" s="20">
        <f>E9+E10+E11+E12</f>
        <v>365053927.1044188</v>
      </c>
      <c r="F13" s="20">
        <f>F9+F10+F11+F12</f>
        <v>358678844.1039311</v>
      </c>
    </row>
    <row r="14" spans="1:6" x14ac:dyDescent="0.25">
      <c r="A14" t="s">
        <v>50</v>
      </c>
      <c r="B14" s="21">
        <f>1/(1+Assumptions!$B$26)^(1-0.5*Assumptions!$B$32)</f>
        <v>0.959563304021106</v>
      </c>
      <c r="C14" s="21">
        <f>1/(1+Assumptions!$B$26)^(2-0.5*Assumptions!$B$32)</f>
        <v>0.8835291721000029</v>
      </c>
      <c r="D14" s="21">
        <f>1/(1+Assumptions!$B$26)^(3-0.5*Assumptions!$B$32)</f>
        <v>0.8135198529169124</v>
      </c>
      <c r="E14" s="21">
        <f>1/(1+Assumptions!$B$26)^(4-0.5*Assumptions!$B$32)</f>
        <v>0.7490579507600533</v>
      </c>
      <c r="F14" s="21">
        <f>1/(1+Assumptions!$B$26)^(5-0.5*Assumptions!$B$32)</f>
        <v>0.6897038979258401</v>
      </c>
    </row>
    <row r="15" spans="1:6" x14ac:dyDescent="0.25">
      <c r="A15" s="19" t="s">
        <v>51</v>
      </c>
      <c r="B15" s="20">
        <f>B13*B14</f>
        <v>369304369.14224166</v>
      </c>
      <c r="C15" s="20">
        <f>C13*C14</f>
        <v>334103053.441116</v>
      </c>
      <c r="D15" s="20">
        <f>D13*D14</f>
        <v>302257053.11296666</v>
      </c>
      <c r="E15" s="20">
        <f>E13*E14</f>
        <v>273446546.55374587</v>
      </c>
      <c r="F15" s="20">
        <f>F13*F14</f>
        <v>247382196.88201603</v>
      </c>
    </row>
    <row r="17" spans="1:2" x14ac:dyDescent="0.25">
      <c r="A17" s="22" t="s">
        <v>52</v>
      </c>
      <c r="B17" s="23">
        <f>SUM(B15:F15)</f>
        <v>1526493219.132086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9"/>
  <sheetViews>
    <sheetView workbookViewId="0" showGridLines="0"/>
  </sheetViews>
  <sheetFormatPr defaultRowHeight="15" outlineLevelRow="0" outlineLevelCol="0" x14ac:dyDescent="55"/>
  <cols>
    <col min="1" max="1" width="46" customWidth="1"/>
    <col min="2" max="2" width="18" customWidth="1"/>
    <col min="3" max="3" width="46" customWidth="1"/>
  </cols>
  <sheetData>
    <row r="1" spans="1:1" x14ac:dyDescent="0.25">
      <c r="A1" s="15" t="s">
        <v>53</v>
      </c>
    </row>
    <row r="3" spans="1:3" x14ac:dyDescent="0.25">
      <c r="A3" s="4" t="s">
        <v>54</v>
      </c>
      <c r="B3" s="5"/>
      <c r="C3" s="5"/>
    </row>
    <row r="4" spans="1:2" x14ac:dyDescent="0.25">
      <c r="A4" t="s">
        <v>55</v>
      </c>
      <c r="B4" s="18">
        <f>Forecast!F13</f>
        <v>358678844.1039311</v>
      </c>
    </row>
    <row r="5" spans="1:2" x14ac:dyDescent="0.25">
      <c r="A5" t="s">
        <v>56</v>
      </c>
      <c r="B5" s="18">
        <f>IF(Assumptions!$B$33=0,B4,B4-Forecast!F11-Forecast!F10-Forecast!F12)</f>
        <v>316887095.5742502</v>
      </c>
    </row>
    <row r="6" spans="1:2" x14ac:dyDescent="0.25">
      <c r="A6" t="s">
        <v>57</v>
      </c>
      <c r="B6" s="10">
        <f>IF(OR(Assumptions!$B$33=0,Assumptions!B12&lt;=0),0,MIN(Assumptions!B12/MAX(Assumptions!B14,Assumptions!B26),0.9))</f>
        <v>0.16969612115600982</v>
      </c>
    </row>
    <row r="7" spans="1:2" x14ac:dyDescent="0.25">
      <c r="A7" t="s">
        <v>58</v>
      </c>
      <c r="B7" s="18">
        <f>-MAX(Forecast!F9,0)*B6</f>
        <v>-53774510.96334403</v>
      </c>
    </row>
    <row r="8" spans="1:2" x14ac:dyDescent="0.25">
      <c r="A8" t="s">
        <v>59</v>
      </c>
      <c r="B8" s="18">
        <f>IF(OR(Assumptions!$B$33=0,Assumptions!B12&lt;=0),B5,MAX(B5+B7,0))</f>
        <v>263112584.61090618</v>
      </c>
    </row>
    <row r="9" spans="1:2" x14ac:dyDescent="0.25">
      <c r="A9" t="s">
        <v>60</v>
      </c>
      <c r="B9" s="18">
        <f>B8*(1+Assumptions!B12)/(Assumptions!B26-Assumptions!B12)</f>
        <v>4417005251.284016</v>
      </c>
    </row>
    <row r="10" spans="1:2" x14ac:dyDescent="0.25">
      <c r="A10" t="s">
        <v>61</v>
      </c>
      <c r="B10" s="18">
        <f>B9/(1+Assumptions!B26)^(5-0.5*Assumptions!B32)</f>
        <v>3046425738.9694905</v>
      </c>
    </row>
    <row r="11" spans="1:2" x14ac:dyDescent="0.25">
      <c r="A11" t="s">
        <v>62</v>
      </c>
      <c r="B11" s="18">
        <f>Forecast!B17+B10</f>
        <v>4572918958.101577</v>
      </c>
    </row>
    <row r="12" spans="1:2" x14ac:dyDescent="0.25">
      <c r="A12" t="s">
        <v>63</v>
      </c>
      <c r="B12" s="18">
        <f>-Assumptions!B30</f>
        <v>-1267426000</v>
      </c>
    </row>
    <row r="13" spans="1:2" x14ac:dyDescent="0.25">
      <c r="A13" t="s">
        <v>64</v>
      </c>
      <c r="B13" s="18">
        <f>B11+B12</f>
        <v>3305492958.101577</v>
      </c>
    </row>
    <row r="14" spans="1:2" x14ac:dyDescent="0.25">
      <c r="A14" s="19" t="s">
        <v>65</v>
      </c>
      <c r="B14" s="24">
        <f>B13/Assumptions!B31</f>
        <v>32.82562682136764</v>
      </c>
    </row>
    <row r="16" spans="1:3" x14ac:dyDescent="0.25">
      <c r="A16" s="4" t="s">
        <v>66</v>
      </c>
      <c r="B16" s="5"/>
      <c r="C16" s="5"/>
    </row>
    <row r="17" spans="1:2" x14ac:dyDescent="0.25">
      <c r="A17" t="s">
        <v>67</v>
      </c>
      <c r="B17" s="18">
        <f>Forecast!F8+Forecast!F10</f>
        <v>726181967.1697187</v>
      </c>
    </row>
    <row r="18" spans="1:2" x14ac:dyDescent="0.25">
      <c r="A18" t="s">
        <v>60</v>
      </c>
      <c r="B18" s="18">
        <f>B17*Assumptions!B13</f>
        <v>7474589785.780396</v>
      </c>
    </row>
    <row r="19" spans="1:2" x14ac:dyDescent="0.25">
      <c r="A19" t="s">
        <v>61</v>
      </c>
      <c r="B19" s="18">
        <f>B18/(1+Assumptions!B26)^(5-0.5*Assumptions!B32)</f>
        <v>5155253710.649409</v>
      </c>
    </row>
    <row r="20" spans="1:2" x14ac:dyDescent="0.25">
      <c r="A20" t="s">
        <v>62</v>
      </c>
      <c r="B20" s="18">
        <f>Forecast!B17+B19</f>
        <v>6681746929.781495</v>
      </c>
    </row>
    <row r="21" spans="1:2" x14ac:dyDescent="0.25">
      <c r="A21" t="s">
        <v>63</v>
      </c>
      <c r="B21" s="18">
        <f>-Assumptions!B30</f>
        <v>-1267426000</v>
      </c>
    </row>
    <row r="22" spans="1:2" x14ac:dyDescent="0.25">
      <c r="A22" t="s">
        <v>64</v>
      </c>
      <c r="B22" s="18">
        <f>B20+B21</f>
        <v>5414320929.781495</v>
      </c>
    </row>
    <row r="23" spans="1:2" x14ac:dyDescent="0.25">
      <c r="A23" s="19" t="s">
        <v>65</v>
      </c>
      <c r="B23" s="25">
        <f>B22/Assumptions!B31</f>
        <v>53.76761668680163</v>
      </c>
    </row>
    <row r="25" spans="1:3" x14ac:dyDescent="0.25">
      <c r="A25" s="4" t="s">
        <v>68</v>
      </c>
      <c r="B25" s="5"/>
      <c r="C25" s="5"/>
    </row>
    <row r="26" spans="1:2" x14ac:dyDescent="0.25">
      <c r="A26" t="s">
        <v>69</v>
      </c>
      <c r="B26" s="26">
        <v>65.08</v>
      </c>
    </row>
    <row r="27" spans="1:3" x14ac:dyDescent="0.25">
      <c r="A27" t="s">
        <v>70</v>
      </c>
      <c r="B27" s="27">
        <v>1</v>
      </c>
      <c r="C27" s="8" t="s">
        <v>71</v>
      </c>
    </row>
    <row r="28" spans="1:2" x14ac:dyDescent="0.25">
      <c r="A28" t="s">
        <v>72</v>
      </c>
      <c r="B28" s="28">
        <f>B14*B27</f>
        <v>32.82562682136764</v>
      </c>
    </row>
    <row r="29" spans="1:2" x14ac:dyDescent="0.25">
      <c r="A29" s="19" t="s">
        <v>73</v>
      </c>
      <c r="B29" s="12">
        <f>B28/B26-1</f>
        <v>-0.49561114288003005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9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14" customWidth="1"/>
    <col min="2" max="6" width="13" customWidth="1"/>
  </cols>
  <sheetData>
    <row r="1" spans="1:1" x14ac:dyDescent="0.25">
      <c r="A1" s="15" t="s">
        <v>74</v>
      </c>
    </row>
    <row r="2" spans="1:1" x14ac:dyDescent="0.25">
      <c r="A2" s="3" t="s">
        <v>75</v>
      </c>
    </row>
    <row r="4" spans="1:6" x14ac:dyDescent="0.25">
      <c r="A4" s="16" t="s">
        <v>27</v>
      </c>
      <c r="B4" s="29">
        <v>0.015</v>
      </c>
      <c r="C4" s="29">
        <v>0.02</v>
      </c>
      <c r="D4" s="29">
        <v>0.025</v>
      </c>
      <c r="E4" s="29">
        <v>0.03</v>
      </c>
      <c r="F4" s="29">
        <v>0.035</v>
      </c>
    </row>
    <row r="5" spans="1:6" x14ac:dyDescent="0.25">
      <c r="A5" s="30">
        <v>0.066057</v>
      </c>
      <c r="B5" s="31">
        <v>45.375531093569194</v>
      </c>
      <c r="C5" s="31">
        <v>48.40618523443054</v>
      </c>
      <c r="D5" s="31">
        <v>52.15549037838631</v>
      </c>
      <c r="E5" s="31">
        <v>56.922411082843325</v>
      </c>
      <c r="F5" s="31">
        <v>63.1984382647452</v>
      </c>
    </row>
    <row r="6" spans="1:6" x14ac:dyDescent="0.25">
      <c r="A6" s="30">
        <v>0.076057</v>
      </c>
      <c r="B6" s="31">
        <v>36.68458240174647</v>
      </c>
      <c r="C6" s="31">
        <v>38.48194362735066</v>
      </c>
      <c r="D6" s="31">
        <v>40.616294436566996</v>
      </c>
      <c r="E6" s="31">
        <v>43.197386740162194</v>
      </c>
      <c r="F6" s="31">
        <v>46.38843563947543</v>
      </c>
    </row>
    <row r="7" spans="1:6" x14ac:dyDescent="0.25">
      <c r="A7" s="30">
        <v>0.086057</v>
      </c>
      <c r="B7" s="31">
        <v>30.419057738289638</v>
      </c>
      <c r="C7" s="31">
        <v>31.536928166326355</v>
      </c>
      <c r="D7" s="32">
        <v>32.82582041417253</v>
      </c>
      <c r="E7" s="31">
        <v>34.331497317819064</v>
      </c>
      <c r="F7" s="31">
        <v>36.11764788831253</v>
      </c>
    </row>
    <row r="8" spans="1:6" x14ac:dyDescent="0.25">
      <c r="A8" s="30">
        <v>0.096057</v>
      </c>
      <c r="B8" s="31">
        <v>25.68225427732273</v>
      </c>
      <c r="C8" s="31">
        <v>26.397198529475844</v>
      </c>
      <c r="D8" s="31">
        <v>27.202810574377057</v>
      </c>
      <c r="E8" s="31">
        <v>28.11967894755207</v>
      </c>
      <c r="F8" s="31">
        <v>29.175136222237494</v>
      </c>
    </row>
    <row r="9" spans="1:6" x14ac:dyDescent="0.25">
      <c r="A9" s="30">
        <v>0.106057</v>
      </c>
      <c r="B9" s="31">
        <v>21.971322010282815</v>
      </c>
      <c r="C9" s="31">
        <v>22.434403889872574</v>
      </c>
      <c r="D9" s="31">
        <v>22.94624484903946</v>
      </c>
      <c r="E9" s="31">
        <v>23.516461178113868</v>
      </c>
      <c r="F9" s="31">
        <v>24.157375808666405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9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40" customWidth="1"/>
    <col min="2" max="5" width="17" customWidth="1"/>
    <col min="6" max="6" width="44" customWidth="1"/>
  </cols>
  <sheetData>
    <row r="1" spans="1:1" x14ac:dyDescent="0.25">
      <c r="A1" s="15" t="s">
        <v>76</v>
      </c>
    </row>
    <row r="2" spans="1:1" x14ac:dyDescent="0.25">
      <c r="A2" s="3" t="s">
        <v>77</v>
      </c>
    </row>
    <row r="4" spans="1:6" x14ac:dyDescent="0.25">
      <c r="A4" s="16" t="s">
        <v>78</v>
      </c>
      <c r="B4" s="17" t="s">
        <v>79</v>
      </c>
      <c r="C4" s="17" t="s">
        <v>80</v>
      </c>
      <c r="D4" s="17" t="s">
        <v>81</v>
      </c>
      <c r="E4" s="17" t="s">
        <v>82</v>
      </c>
      <c r="F4" s="33" t="s">
        <v>83</v>
      </c>
    </row>
    <row r="5" spans="1:6" x14ac:dyDescent="0.25">
      <c r="A5" t="s">
        <v>43</v>
      </c>
      <c r="B5" s="18">
        <v>5383520000</v>
      </c>
      <c r="C5" s="18">
        <v>5236437000</v>
      </c>
      <c r="D5" s="18">
        <v>4717796000</v>
      </c>
      <c r="E5" s="18">
        <v>5675709000</v>
      </c>
      <c r="F5" s="8" t="s">
        <v>84</v>
      </c>
    </row>
    <row r="6" spans="1:6" x14ac:dyDescent="0.25">
      <c r="A6" t="s">
        <v>44</v>
      </c>
      <c r="B6" s="18">
        <v>409308000</v>
      </c>
      <c r="C6" s="18">
        <v>432653000</v>
      </c>
      <c r="D6" s="18">
        <v>427613000</v>
      </c>
      <c r="E6" s="18">
        <v>612039000</v>
      </c>
      <c r="F6" s="8" t="s">
        <v>85</v>
      </c>
    </row>
    <row r="7" spans="1:6" x14ac:dyDescent="0.25">
      <c r="A7" t="s">
        <v>86</v>
      </c>
      <c r="B7" s="18">
        <v>350518000</v>
      </c>
      <c r="C7" s="18">
        <v>328862000</v>
      </c>
      <c r="D7" s="18">
        <v>292968000</v>
      </c>
      <c r="E7" s="18">
        <v>238989000</v>
      </c>
      <c r="F7" s="8" t="s">
        <v>87</v>
      </c>
    </row>
    <row r="8" spans="1:6" x14ac:dyDescent="0.25">
      <c r="A8" t="s">
        <v>88</v>
      </c>
      <c r="B8" s="18">
        <v>197328000</v>
      </c>
      <c r="C8" s="18">
        <v>253666000</v>
      </c>
      <c r="D8" s="18">
        <v>275383000</v>
      </c>
      <c r="E8" s="18">
        <v>323887000</v>
      </c>
      <c r="F8" s="8" t="s">
        <v>89</v>
      </c>
    </row>
    <row r="9" spans="1:6" x14ac:dyDescent="0.25">
      <c r="A9" t="s">
        <v>90</v>
      </c>
      <c r="B9" s="18">
        <v>31676000</v>
      </c>
      <c r="C9" s="18">
        <v>16970000</v>
      </c>
      <c r="D9" s="18">
        <v>-7230000</v>
      </c>
      <c r="E9" s="18">
        <v>0</v>
      </c>
      <c r="F9" s="8" t="s">
        <v>91</v>
      </c>
    </row>
    <row r="10" spans="1:6" x14ac:dyDescent="0.25">
      <c r="A10" t="s">
        <v>92</v>
      </c>
      <c r="B10" s="18">
        <v>1429615000</v>
      </c>
      <c r="C10" s="18">
        <v>1346989000</v>
      </c>
      <c r="D10" s="18">
        <v>1216342000</v>
      </c>
      <c r="E10" s="18">
        <v>1000284000</v>
      </c>
      <c r="F10" s="8" t="s">
        <v>93</v>
      </c>
    </row>
    <row r="11" spans="1:6" x14ac:dyDescent="0.25">
      <c r="A11" t="s">
        <v>94</v>
      </c>
      <c r="B11" s="18">
        <v>162189000</v>
      </c>
      <c r="C11" s="18">
        <v>179391000</v>
      </c>
      <c r="D11" s="18">
        <v>213562000</v>
      </c>
      <c r="E11" s="18">
        <v>341991000</v>
      </c>
      <c r="F11" s="8" t="s">
        <v>95</v>
      </c>
    </row>
    <row r="12" spans="1:6" x14ac:dyDescent="0.25">
      <c r="A12" t="s">
        <v>32</v>
      </c>
      <c r="B12" s="34">
        <v>100698548</v>
      </c>
      <c r="C12" s="34">
        <v>100698548</v>
      </c>
      <c r="D12" s="34">
        <v>100698548</v>
      </c>
      <c r="E12" s="34">
        <v>100697959</v>
      </c>
      <c r="F12" s="8" t="s">
        <v>96</v>
      </c>
    </row>
    <row r="15" spans="1:1" x14ac:dyDescent="0.25">
      <c r="A15" s="19" t="s">
        <v>97</v>
      </c>
    </row>
    <row r="16" ht="22" customHeight="1" spans="1:6" x14ac:dyDescent="0.25">
      <c r="A16" s="35" t="s">
        <v>98</v>
      </c>
      <c r="B16" s="35"/>
      <c r="C16" s="35"/>
      <c r="D16" s="35"/>
      <c r="E16" s="35"/>
      <c r="F16" s="35"/>
    </row>
    <row r="17" ht="22" customHeight="1" spans="1:6" x14ac:dyDescent="0.25">
      <c r="A17" s="35" t="s">
        <v>99</v>
      </c>
      <c r="B17" s="35"/>
      <c r="C17" s="35"/>
      <c r="D17" s="35"/>
      <c r="E17" s="35"/>
      <c r="F17" s="35"/>
    </row>
    <row r="19" spans="1:1" x14ac:dyDescent="0.25">
      <c r="A19" s="36" t="s">
        <v>100</v>
      </c>
    </row>
  </sheetData>
  <mergeCells count="2">
    <mergeCell ref="A16:F16"/>
    <mergeCell ref="A17:F17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Assumptions</vt:lpstr>
      <vt:lpstr>Forecast</vt:lpstr>
      <vt:lpstr>Valuation</vt:lpstr>
      <vt:lpstr>Sensitivity</vt:lpstr>
      <vt:lpstr>Source 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DCF Studio</dc:creator>
  <dc:title/>
  <dc:subject/>
  <dc:description/>
  <cp:keywords/>
  <cp:category/>
  <cp:lastModifiedBy>Unknown</cp:lastModifiedBy>
  <dcterms:created xsi:type="dcterms:W3CDTF">1970-01-01T00:00:00Z</dcterms:created>
  <dcterms:modified xsi:type="dcterms:W3CDTF">2026-09-19T01:59:35Z</dcterms:modified>
</cp:coreProperties>
</file>