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<sst xmlns="http://schemas.openxmlformats.org/spreadsheetml/2006/main" count="119" uniqueCount="106">
  <si>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MGM Resorts International (MGM)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</si>
  <si>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</si>
  <si>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</si>
  <si>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</si>
  <si>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</si>
  <si>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</si>
  <si>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</si>
  <si>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</si>
  <si>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</si>
  <si>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</si>
  <si>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</si>
  <si>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</si>
  <si>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</si>
  <si>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</si>
  <si>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</si>
  <si>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</si>
  <si>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</si>
  <si>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</si>
  <si>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</si>
  <si>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</si>
  <si>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</si>
  <si>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</si>
  <si>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</si>
  <si>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</si>
  <si>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3.2x interest cover. Book interest / average debt was lower, at 1.3%.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</si>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</sst>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0.001988859645826624</v>
      </c>
    </row>
    <row r="7" spans="1:2" x14ac:dyDescent="0.25">
      <c r="A7" t="s">
        <v>4</v>
      </c>
      <c r="B7" s="5">
        <v>0.03515600059935409</v>
      </c>
    </row>
    <row r="8" spans="1:2" x14ac:dyDescent="0.25">
      <c r="A8" t="s">
        <v>5</v>
      </c>
      <c r="B8" s="5">
        <v>0.10717202971557542</v>
      </c>
    </row>
    <row r="9" spans="1:2" x14ac:dyDescent="0.25">
      <c r="A9" t="s">
        <v>6</v>
      </c>
      <c r="B9" s="5">
        <v>0.10546386027853888</v>
      </c>
    </row>
    <row r="10" spans="1:3" x14ac:dyDescent="0.25">
      <c r="A10" t="s">
        <v>7</v>
      </c>
      <c r="B10" s="5">
        <v>0.060903503058006264</v>
      </c>
      <c r="C10" s="6" t="s">
        <v>8</v>
      </c>
    </row>
    <row r="11" spans="1:2" x14ac:dyDescent="0.25">
      <c r="A11" t="s">
        <v>9</v>
      </c>
      <c r="B11" s="5">
        <v>0.046353723950618056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15.66155574639769</v>
      </c>
    </row>
    <row r="14" spans="1:3" x14ac:dyDescent="0.25">
      <c r="A14" t="s">
        <v>12</v>
      </c>
      <c r="B14" s="5">
        <v>0.13922191569351167</v>
      </c>
      <c r="C14" s="6" t="s">
        <v>13</v>
      </c>
    </row>
    <row r="15" spans="1:3" x14ac:dyDescent="0.25">
      <c r="A15" t="s">
        <v>14</v>
      </c>
      <c r="B15" s="5">
        <v>0.10546386027853888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1.23517</v>
      </c>
      <c r="C19" s="6" t="s">
        <v>21</v>
      </c>
    </row>
    <row r="20" spans="1:2" x14ac:dyDescent="0.25">
      <c r="A20" t="s">
        <v>22</v>
      </c>
      <c r="B20" s="9">
        <f>B17+B19*B18</f>
        <v>0.101187691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7580195840</v>
      </c>
    </row>
    <row r="23" spans="1:2" x14ac:dyDescent="0.25">
      <c r="A23" t="s">
        <v>26</v>
      </c>
      <c r="B23" s="10">
        <v>31375801000</v>
      </c>
    </row>
    <row r="24" spans="1:2" x14ac:dyDescent="0.25">
      <c r="A24" t="s">
        <v>27</v>
      </c>
      <c r="B24" s="9">
        <f>B22/(B22+B23)</f>
        <v>0.19458354181343032</v>
      </c>
    </row>
    <row r="25" spans="1:2" x14ac:dyDescent="0.25">
      <c r="A25" t="s">
        <v>28</v>
      </c>
      <c r="B25" s="9">
        <f>1-B24</f>
        <v>0.8054164581865697</v>
      </c>
    </row>
    <row r="26" spans="1:2" x14ac:dyDescent="0.25">
      <c r="A26" t="s">
        <v>29</v>
      </c>
      <c r="B26" s="11">
        <f>B24*B20+B25*B21*(1-B8)</f>
        <v>0.061282107380637885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17537683000</v>
      </c>
      <c r="C29" s="6" t="s">
        <v>32</v>
      </c>
    </row>
    <row r="30" spans="1:2" x14ac:dyDescent="0.25">
      <c r="A30" t="s">
        <v>33</v>
      </c>
      <c r="B30" s="10">
        <v>29312807000</v>
      </c>
    </row>
    <row r="31" spans="1:2" x14ac:dyDescent="0.25">
      <c r="A31" t="s">
        <v>34</v>
      </c>
      <c r="B31" s="12">
        <v>277275000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0.001988859645826624</v>
      </c>
      <c r="C5" s="5">
        <v>0.007362417768746798</v>
      </c>
      <c r="D5" s="5">
        <v>0.009567115547653448</v>
      </c>
      <c r="E5" s="5">
        <v>0.0117718133265601</v>
      </c>
      <c r="F5" s="5">
        <v>0.01397651110546675</v>
      </c>
      <c r="G5" s="5">
        <v>0.0161812088843734</v>
      </c>
      <c r="H5" s="5">
        <v>0.01838590666328005</v>
      </c>
      <c r="I5" s="5">
        <v>0.020590604442186702</v>
      </c>
      <c r="J5" s="5">
        <v>0.022795302221093352</v>
      </c>
      <c r="K5" s="5">
        <v>0.025</v>
      </c>
    </row>
    <row r="6" spans="1:11" x14ac:dyDescent="0.25">
      <c r="A6" t="s">
        <v>50</v>
      </c>
      <c r="B6" s="18">
        <f>Assumptions!B29*(1+B5)</f>
        <v>17572562990</v>
      </c>
      <c r="C6" s="18">
        <f>B6*(1+C5)</f>
        <v>17701939540</v>
      </c>
      <c r="D6" s="18">
        <f>C6*(1+D5)</f>
        <v>17871296040.996758</v>
      </c>
      <c r="E6" s="18">
        <f>D6*(1+E5)</f>
        <v>18081673601.895065</v>
      </c>
      <c r="F6" s="18">
        <f>E6*(1+F5)</f>
        <v>18334392313.79738</v>
      </c>
      <c r="G6" s="18">
        <f>F6*(1+G5)</f>
        <v>18631064945.594982</v>
      </c>
      <c r="H6" s="18">
        <f>G6*(1+H5)</f>
        <v>18973613966.722202</v>
      </c>
      <c r="I6" s="18">
        <f>H6*(1+I5)</f>
        <v>19364292146.749725</v>
      </c>
      <c r="J6" s="18">
        <f>I6*(1+J5)</f>
        <v>19805707038.53243</v>
      </c>
      <c r="K6" s="18">
        <f>J6*(1+K5)</f>
        <v>20300849714.49574</v>
      </c>
    </row>
    <row r="7" spans="1:11" x14ac:dyDescent="0.25">
      <c r="A7" t="s">
        <v>4</v>
      </c>
      <c r="B7" s="9">
        <f>Assumptions!B7</f>
        <v>0.03515600059935409</v>
      </c>
      <c r="C7" s="9">
        <f>Assumptions!B7</f>
        <v>0.03515600059935409</v>
      </c>
      <c r="D7" s="9">
        <f>Assumptions!B7</f>
        <v>0.03515600059935409</v>
      </c>
      <c r="E7" s="9">
        <f>Assumptions!B7</f>
        <v>0.03515600059935409</v>
      </c>
      <c r="F7" s="9">
        <f>Assumptions!B7</f>
        <v>0.03515600059935409</v>
      </c>
      <c r="G7" s="9">
        <f>Assumptions!B7</f>
        <v>0.03515600059935409</v>
      </c>
      <c r="H7" s="9">
        <f>Assumptions!B7</f>
        <v>0.03515600059935409</v>
      </c>
      <c r="I7" s="9">
        <f>Assumptions!B7</f>
        <v>0.03515600059935409</v>
      </c>
      <c r="J7" s="9">
        <f>Assumptions!B7</f>
        <v>0.03515600059935409</v>
      </c>
      <c r="K7" s="9">
        <f>Assumptions!B7</f>
        <v>0.03515600059935409</v>
      </c>
    </row>
    <row r="8" spans="1:11" x14ac:dyDescent="0.25">
      <c r="A8" t="s">
        <v>51</v>
      </c>
      <c r="B8" s="18">
        <f>B6*B7</f>
        <v>617781035.0086274</v>
      </c>
      <c r="C8" s="18">
        <f>C6*C7</f>
        <v>622329397.0779698</v>
      </c>
      <c r="D8" s="18">
        <f>D6*D7</f>
        <v>628283294.3285164</v>
      </c>
      <c r="E8" s="18">
        <f>E6*E7</f>
        <v>635679327.9855479</v>
      </c>
      <c r="F8" s="18">
        <f>F6*F7</f>
        <v>644563907.1726536</v>
      </c>
      <c r="G8" s="18">
        <f>G6*G7</f>
        <v>654993730.3939421</v>
      </c>
      <c r="H8" s="18">
        <f>H6*H7</f>
        <v>667036383.9859989</v>
      </c>
      <c r="I8" s="18">
        <f>I6*I7</f>
        <v>680771066.317201</v>
      </c>
      <c r="J8" s="18">
        <f>J6*J7</f>
        <v>696289448.5172775</v>
      </c>
      <c r="K8" s="18">
        <f>K6*K7</f>
        <v>713696684.7302095</v>
      </c>
    </row>
    <row r="9" spans="1:11" x14ac:dyDescent="0.25">
      <c r="A9" t="s">
        <v>52</v>
      </c>
      <c r="B9" s="18">
        <f>B8*(1-Assumptions!B8)</f>
        <v>551572187.5669639</v>
      </c>
      <c r="C9" s="18">
        <f>C8*(1-Assumptions!B8)</f>
        <v>555633092.4414535</v>
      </c>
      <c r="D9" s="18">
        <f>D8*(1-Assumptions!B8)</f>
        <v>560948898.438941</v>
      </c>
      <c r="E9" s="18">
        <f>E8*(1-Assumptions!B8)</f>
        <v>567552284.1571038</v>
      </c>
      <c r="F9" s="18">
        <f>F8*(1-Assumptions!B8)</f>
        <v>575484684.9595586</v>
      </c>
      <c r="G9" s="18">
        <f>G8*(1-Assumptions!B8)</f>
        <v>584796722.856647</v>
      </c>
      <c r="H9" s="18">
        <f>H8*(1-Assumptions!B8)</f>
        <v>595548740.8200815</v>
      </c>
      <c r="I9" s="18">
        <f>I8*(1-Assumptions!B8)</f>
        <v>607811449.36835</v>
      </c>
      <c r="J9" s="18">
        <f>J8*(1-Assumptions!B8)</f>
        <v>621666695.0501422</v>
      </c>
      <c r="K9" s="18">
        <f>K8*(1-Assumptions!B8)</f>
        <v>637208362.4263958</v>
      </c>
    </row>
    <row r="10" spans="1:11" x14ac:dyDescent="0.25">
      <c r="A10" t="s">
        <v>53</v>
      </c>
      <c r="B10" s="18">
        <f>B6*Assumptions!B9</f>
        <v>1853270327.9131835</v>
      </c>
      <c r="C10" s="18">
        <f>C6*Assumptions!B9</f>
        <v>1866914878.3057027</v>
      </c>
      <c r="D10" s="18">
        <f>D6*Assumptions!B9</f>
        <v>1884775868.664087</v>
      </c>
      <c r="E10" s="18">
        <f>E6*Assumptions!B9</f>
        <v>1906963098.352406</v>
      </c>
      <c r="F10" s="18">
        <f>F6*Assumptions!B9</f>
        <v>1933615789.2742438</v>
      </c>
      <c r="G10" s="18">
        <f>G6*Assumptions!B9</f>
        <v>1964904030.2626128</v>
      </c>
      <c r="H10" s="18">
        <f>H6*Assumptions!B9</f>
        <v>2001030572.3653243</v>
      </c>
      <c r="I10" s="18">
        <f>I6*Assumptions!B9</f>
        <v>2042233001.3576207</v>
      </c>
      <c r="J10" s="18">
        <f>J6*Assumptions!B9</f>
        <v>2088786319.829458</v>
      </c>
      <c r="K10" s="18">
        <f>K6*Assumptions!B9</f>
        <v>2141005977.8251946</v>
      </c>
    </row>
    <row r="11" spans="1:11" x14ac:dyDescent="0.25">
      <c r="A11" t="s">
        <v>54</v>
      </c>
      <c r="B11" s="18">
        <f>-B6*B19</f>
        <v>-1070230643.7984726</v>
      </c>
      <c r="C11" s="18">
        <f>-C6*C19</f>
        <v>-1176841180.7869825</v>
      </c>
      <c r="D11" s="18">
        <f>-D6*D19</f>
        <v>-1287775779.6062357</v>
      </c>
      <c r="E11" s="18">
        <f>-E6*E19</f>
        <v>-1403784221.7818954</v>
      </c>
      <c r="F11" s="18">
        <f>-F6*F19</f>
        <v>-1525662730.6130636</v>
      </c>
      <c r="G11" s="18">
        <f>-G6*G19</f>
        <v>-1654262967.208282</v>
      </c>
      <c r="H11" s="18">
        <f>-H6*H19</f>
        <v>-1790501798.8151343</v>
      </c>
      <c r="I11" s="18">
        <f>-I6*I19</f>
        <v>-1935371994.2962039</v>
      </c>
      <c r="J11" s="18">
        <f>-J6*J19</f>
        <v>-2089954018.7634528</v>
      </c>
      <c r="K11" s="18">
        <f>-K6*K19</f>
        <v>-2255429120.0532417</v>
      </c>
    </row>
    <row r="12" spans="1:11" x14ac:dyDescent="0.25">
      <c r="A12" t="s">
        <v>55</v>
      </c>
      <c r="B12" s="18">
        <f>-(B6-Assumptions!B29)*Assumptions!B11</f>
        <v>-1616817.4278603182</v>
      </c>
      <c r="C12" s="18">
        <f>-(C6-B6)*Assumptions!B11</f>
        <v>-5997084.884383335</v>
      </c>
      <c r="D12" s="18">
        <f>-(D6-C6)*Assumptions!B11</f>
        <v>-7850304.49644627</v>
      </c>
      <c r="E12" s="18">
        <f>-(E6-D6)*Assumptions!B11</f>
        <v>-9751783.383284498</v>
      </c>
      <c r="F12" s="18">
        <f>-(F6-E6)*Assumptions!B11</f>
        <v>-11714453.408675602</v>
      </c>
      <c r="G12" s="18">
        <f>-(G6-F6)*Assumptions!B11</f>
        <v>-13751881.27804947</v>
      </c>
      <c r="H12" s="18">
        <f>-(H6-G6)*Assumptions!B11</f>
        <v>-15878422.764885595</v>
      </c>
      <c r="I12" s="18">
        <f>-(I6-H6)*Assumptions!B11</f>
        <v>-18109388.510525666</v>
      </c>
      <c r="J12" s="18">
        <f>-(J6-I6)*Assumptions!B11</f>
        <v>-20461224.041387375</v>
      </c>
      <c r="K12" s="18">
        <f>-(K6-J6)*Assumptions!B11</f>
        <v>-22951706.917773608</v>
      </c>
    </row>
    <row r="13" spans="1:11" x14ac:dyDescent="0.25">
      <c r="A13" s="19" t="s">
        <v>56</v>
      </c>
      <c r="B13" s="20">
        <f>B9+B10+B11+B12</f>
        <v>1332995054.2538145</v>
      </c>
      <c r="C13" s="20">
        <f>C9+C10+C11+C12</f>
        <v>1239709705.0757902</v>
      </c>
      <c r="D13" s="20">
        <f>D9+D10+D11+D12</f>
        <v>1150098683.0003462</v>
      </c>
      <c r="E13" s="20">
        <f>E9+E10+E11+E12</f>
        <v>1060979377.3443302</v>
      </c>
      <c r="F13" s="20">
        <f>F9+F10+F11+F12</f>
        <v>971723290.2120632</v>
      </c>
      <c r="G13" s="20">
        <f>G9+G10+G11+G12</f>
        <v>881685904.6329284</v>
      </c>
      <c r="H13" s="20">
        <f>H9+H10+H11+H12</f>
        <v>790199091.6053859</v>
      </c>
      <c r="I13" s="20">
        <f>I9+I10+I11+I12</f>
        <v>696563067.9192412</v>
      </c>
      <c r="J13" s="20">
        <f>J9+J10+J11+J12</f>
        <v>600037772.07476</v>
      </c>
      <c r="K13" s="20">
        <f>K9+K10+K11+K12</f>
        <v>499833513.2805749</v>
      </c>
    </row>
    <row r="14" spans="1:11" x14ac:dyDescent="0.25">
      <c r="A14" t="s">
        <v>57</v>
      </c>
      <c r="B14" s="21">
        <f>1/(1+Assumptions!$B$26)^(1-0.5*Assumptions!$B$32)</f>
        <v>0.9706989924321998</v>
      </c>
      <c r="C14" s="21">
        <f>1/(1+Assumptions!$B$26)^(2-0.5*Assumptions!$B$32)</f>
        <v>0.9146474680780142</v>
      </c>
      <c r="D14" s="21">
        <f>1/(1+Assumptions!$B$26)^(3-0.5*Assumptions!$B$32)</f>
        <v>0.8618325530197298</v>
      </c>
      <c r="E14" s="21">
        <f>1/(1+Assumptions!$B$26)^(4-0.5*Assumptions!$B$32)</f>
        <v>0.8120673542182183</v>
      </c>
      <c r="F14" s="21">
        <f>1/(1+Assumptions!$B$26)^(5-0.5*Assumptions!$B$32)</f>
        <v>0.7651757704862194</v>
      </c>
      <c r="G14" s="21">
        <f>1/(1+Assumptions!$B$26)^(6-0.5*Assumptions!$B$32)</f>
        <v>0.7209918693294077</v>
      </c>
      <c r="H14" s="21">
        <f>1/(1+Assumptions!$B$26)^(7-0.5*Assumptions!$B$32)</f>
        <v>0.6793592997708174</v>
      </c>
      <c r="I14" s="21">
        <f>1/(1+Assumptions!$B$26)^(8-0.5*Assumptions!$B$32)</f>
        <v>0.6401307390808195</v>
      </c>
      <c r="J14" s="21">
        <f>1/(1+Assumptions!$B$26)^(9-0.5*Assumptions!$B$32)</f>
        <v>0.6031673714548276</v>
      </c>
      <c r="K14" s="21">
        <f>1/(1+Assumptions!$B$26)^(10-0.5*Assumptions!$B$32)</f>
        <v>0.5683383967939605</v>
      </c>
    </row>
    <row r="15" spans="1:11" x14ac:dyDescent="0.25">
      <c r="A15" s="19" t="s">
        <v>58</v>
      </c>
      <c r="B15" s="20">
        <f>B13*B14</f>
        <v>1293936956.0812833</v>
      </c>
      <c r="C15" s="20">
        <f>C13*C14</f>
        <v>1133897342.8993132</v>
      </c>
      <c r="D15" s="20">
        <f>D13*D14</f>
        <v>991192484.1948173</v>
      </c>
      <c r="E15" s="20">
        <f>E13*E14</f>
        <v>861586715.8401029</v>
      </c>
      <c r="F15" s="20">
        <f>F13*F14</f>
        <v>743539117.2874197</v>
      </c>
      <c r="G15" s="20">
        <f>G13*G14</f>
        <v>635688368.5426849</v>
      </c>
      <c r="H15" s="20">
        <f>H13*H14</f>
        <v>536829101.552571</v>
      </c>
      <c r="I15" s="20">
        <f>I13*I14</f>
        <v>445891431.483547</v>
      </c>
      <c r="J15" s="20">
        <f>J13*J14</f>
        <v>361923205.7559439</v>
      </c>
      <c r="K15" s="20">
        <f>K13*K14</f>
        <v>284074577.6017747</v>
      </c>
    </row>
    <row r="17" spans="1:2" x14ac:dyDescent="0.25">
      <c r="A17" s="22" t="s">
        <v>59</v>
      </c>
      <c r="B17" s="23">
        <f>SUM(B15:K15)</f>
        <v>7288559301.239458</v>
      </c>
    </row>
    <row r="19" spans="1:11" x14ac:dyDescent="0.25">
      <c r="A19" t="s">
        <v>7</v>
      </c>
      <c r="B19" s="9">
        <f>Assumptions!$B$10+($B$20-Assumptions!$B$10)*0/9</f>
        <v>0.060903503058006264</v>
      </c>
      <c r="C19" s="9">
        <f>Assumptions!$B$10+($B$20-Assumptions!$B$10)*1/9</f>
        <v>0.06648091742307366</v>
      </c>
      <c r="D19" s="9">
        <f>Assumptions!$B$10+($B$20-Assumptions!$B$10)*2/9</f>
        <v>0.07205833178814104</v>
      </c>
      <c r="E19" s="9">
        <f>Assumptions!$B$10+($B$20-Assumptions!$B$10)*3/9</f>
        <v>0.07763574615320844</v>
      </c>
      <c r="F19" s="9">
        <f>Assumptions!$B$10+($B$20-Assumptions!$B$10)*4/9</f>
        <v>0.08321316051827582</v>
      </c>
      <c r="G19" s="9">
        <f>Assumptions!$B$10+($B$20-Assumptions!$B$10)*5/9</f>
        <v>0.08879057488334322</v>
      </c>
      <c r="H19" s="9">
        <f>Assumptions!$B$10+($B$20-Assumptions!$B$10)*6/9</f>
        <v>0.09436798924841061</v>
      </c>
      <c r="I19" s="9">
        <f>Assumptions!$B$10+($B$20-Assumptions!$B$10)*7/9</f>
        <v>0.099945403613478</v>
      </c>
      <c r="J19" s="9">
        <f>Assumptions!$B$10+($B$20-Assumptions!$B$10)*8/9</f>
        <v>0.10552281797854539</v>
      </c>
      <c r="K19" s="9">
        <f>Assumptions!$B$10+($B$20-Assumptions!$B$10)*9/9</f>
        <v>0.11110023234361278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0.11110023234361278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499833513.2805749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637208362.4263958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0.17956942967970602</v>
      </c>
    </row>
    <row r="7" spans="1:2" x14ac:dyDescent="0.25">
      <c r="A7" t="s">
        <v>66</v>
      </c>
      <c r="B7" s="18">
        <f>-MAX(B5,0)*B6</f>
        <v>-114423142.2280473</v>
      </c>
    </row>
    <row r="8" spans="1:2" x14ac:dyDescent="0.25">
      <c r="A8" t="s">
        <v>67</v>
      </c>
      <c r="B8" s="18">
        <f>IF(OR(Assumptions!$B$33=0,Assumptions!B12&lt;=0),B5,MAX(B5+B7,0))</f>
        <v>522785220.19834846</v>
      </c>
    </row>
    <row r="9" spans="1:2" x14ac:dyDescent="0.25">
      <c r="A9" t="s">
        <v>68</v>
      </c>
      <c r="B9" s="18">
        <f>B8*(1+Assumptions!B12)/(Assumptions!B26-Assumptions!B12)</f>
        <v>14769121459.280743</v>
      </c>
    </row>
    <row r="10" spans="1:2" x14ac:dyDescent="0.25">
      <c r="A10" t="s">
        <v>69</v>
      </c>
      <c r="B10" s="18">
        <f>B9/(1+Assumptions!B26)^(10-0.5*Assumptions!B32)</f>
        <v>8393858812.222896</v>
      </c>
    </row>
    <row r="11" spans="1:2" x14ac:dyDescent="0.25">
      <c r="A11" t="s">
        <v>70</v>
      </c>
      <c r="B11" s="18">
        <f>Forecast!B17+B10</f>
        <v>15682418113.462353</v>
      </c>
    </row>
    <row r="12" spans="1:2" x14ac:dyDescent="0.25">
      <c r="A12" t="s">
        <v>71</v>
      </c>
      <c r="B12" s="18">
        <f>-Assumptions!B30</f>
        <v>-29312807000</v>
      </c>
    </row>
    <row r="13" spans="1:2" x14ac:dyDescent="0.25">
      <c r="A13" t="s">
        <v>72</v>
      </c>
      <c r="B13" s="18">
        <f>B11+B12</f>
        <v>-13630388886.537647</v>
      </c>
    </row>
    <row r="14" spans="1:2" x14ac:dyDescent="0.25">
      <c r="A14" s="19" t="s">
        <v>73</v>
      </c>
      <c r="B14" s="24">
        <f>B13/Assumptions!B31</f>
        <v>-49.15837665327796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2854702662.555404</v>
      </c>
    </row>
    <row r="18" spans="1:2" x14ac:dyDescent="0.25">
      <c r="A18" t="s">
        <v>68</v>
      </c>
      <c r="B18" s="18">
        <f>B17*Assumptions!B13</f>
        <v>44709084889.00137</v>
      </c>
    </row>
    <row r="19" spans="1:2" x14ac:dyDescent="0.25">
      <c r="A19" t="s">
        <v>69</v>
      </c>
      <c r="B19" s="18">
        <f>B18/(1+Assumptions!B26)^(10-0.5*Assumptions!B32)</f>
        <v>25409889627.940125</v>
      </c>
    </row>
    <row r="20" spans="1:2" x14ac:dyDescent="0.25">
      <c r="A20" t="s">
        <v>70</v>
      </c>
      <c r="B20" s="18">
        <f>Forecast!B17+B19</f>
        <v>32698448929.17958</v>
      </c>
    </row>
    <row r="21" spans="1:2" x14ac:dyDescent="0.25">
      <c r="A21" t="s">
        <v>71</v>
      </c>
      <c r="B21" s="18">
        <f>-Assumptions!B30</f>
        <v>-29312807000</v>
      </c>
    </row>
    <row r="22" spans="1:2" x14ac:dyDescent="0.25">
      <c r="A22" t="s">
        <v>72</v>
      </c>
      <c r="B22" s="18">
        <f>B20+B21</f>
        <v>3385641929.1795807</v>
      </c>
    </row>
    <row r="23" spans="1:2" x14ac:dyDescent="0.25">
      <c r="A23" s="19" t="s">
        <v>73</v>
      </c>
      <c r="B23" s="25">
        <f>B22/Assumptions!B31</f>
        <v>12.210411790387091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29.96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-49.15837665327796</v>
      </c>
    </row>
    <row r="29" spans="1:2" x14ac:dyDescent="0.25">
      <c r="A29" s="19" t="s">
        <v>81</v>
      </c>
      <c r="B29" s="11">
        <f>B28/B26-1</f>
        <v>-2.6408002888277022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0.041282</v>
      </c>
      <c r="B5" s="31">
        <v>-22.938631912786228</v>
      </c>
      <c r="C5" s="31">
        <v>-12.931949224660466</v>
      </c>
      <c r="D5" s="31">
        <v>3.368102631516385</v>
      </c>
      <c r="E5" s="31">
        <v>34.32888206035052</v>
      </c>
      <c r="F5" s="31">
        <v>114.95690189053653</v>
      </c>
    </row>
    <row r="6" spans="1:6" x14ac:dyDescent="0.25">
      <c r="A6" s="30">
        <v>0.051282</v>
      </c>
      <c r="B6" s="31">
        <v>-42.24782822291885</v>
      </c>
      <c r="C6" s="31">
        <v>-38.294080730912846</v>
      </c>
      <c r="D6" s="31">
        <v>-32.749730914993734</v>
      </c>
      <c r="E6" s="31">
        <v>-24.49368889363271</v>
      </c>
      <c r="F6" s="31">
        <v>-11.027773664395841</v>
      </c>
    </row>
    <row r="7" spans="1:6" x14ac:dyDescent="0.25">
      <c r="A7" s="30">
        <v>0.061282</v>
      </c>
      <c r="B7" s="31">
        <v>-53.35124002263642</v>
      </c>
      <c r="C7" s="31">
        <v>-51.53460169484243</v>
      </c>
      <c r="D7" s="32">
        <v>-49.158248000172556</v>
      </c>
      <c r="E7" s="31">
        <v>-45.953790392397636</v>
      </c>
      <c r="F7" s="31">
        <v>-41.44860278915806</v>
      </c>
    </row>
    <row r="8" spans="1:6" x14ac:dyDescent="0.25">
      <c r="A8" s="30">
        <v>0.071282</v>
      </c>
      <c r="B8" s="31">
        <v>-60.61439213635847</v>
      </c>
      <c r="C8" s="31">
        <v>-59.73480178128505</v>
      </c>
      <c r="D8" s="31">
        <v>-58.621419669341755</v>
      </c>
      <c r="E8" s="31">
        <v>-57.18929651626308</v>
      </c>
      <c r="F8" s="31">
        <v>-55.30665580429835</v>
      </c>
    </row>
    <row r="9" spans="1:6" x14ac:dyDescent="0.25">
      <c r="A9" s="30">
        <v>0.081282</v>
      </c>
      <c r="B9" s="31">
        <v>-65.76890873274489</v>
      </c>
      <c r="C9" s="31">
        <v>-65.3545816391206</v>
      </c>
      <c r="D9" s="31">
        <v>-64.83260017146281</v>
      </c>
      <c r="E9" s="31">
        <v>-64.17147539387778</v>
      </c>
      <c r="F9" s="31">
        <v>-63.3261109481937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17537683000</v>
      </c>
      <c r="C5" s="18">
        <v>17240545000</v>
      </c>
      <c r="D5" s="18">
        <v>16164249000</v>
      </c>
      <c r="E5" s="18">
        <v>13127485000</v>
      </c>
      <c r="F5" s="6" t="s">
        <v>91</v>
      </c>
    </row>
    <row r="6" spans="1:6" x14ac:dyDescent="0.25">
      <c r="A6" t="s">
        <v>51</v>
      </c>
      <c r="B6" s="18">
        <v>1337847000</v>
      </c>
      <c r="C6" s="18">
        <v>1670397000</v>
      </c>
      <c r="D6" s="18">
        <v>1583503000</v>
      </c>
      <c r="E6" s="18">
        <v>-1713283000</v>
      </c>
      <c r="F6" s="6" t="s">
        <v>92</v>
      </c>
    </row>
    <row r="7" spans="1:6" x14ac:dyDescent="0.25">
      <c r="A7" t="s">
        <v>93</v>
      </c>
      <c r="B7" s="18">
        <v>1017794000</v>
      </c>
      <c r="C7" s="18">
        <v>831097000</v>
      </c>
      <c r="D7" s="18">
        <v>814128000</v>
      </c>
      <c r="E7" s="18">
        <v>3482050000</v>
      </c>
      <c r="F7" s="6" t="s">
        <v>94</v>
      </c>
    </row>
    <row r="8" spans="1:6" x14ac:dyDescent="0.25">
      <c r="A8" t="s">
        <v>95</v>
      </c>
      <c r="B8" s="18">
        <v>1068927000</v>
      </c>
      <c r="C8" s="18">
        <v>1150589000</v>
      </c>
      <c r="D8" s="18">
        <v>931813000</v>
      </c>
      <c r="E8" s="18">
        <v>765067000</v>
      </c>
      <c r="F8" s="6" t="s">
        <v>96</v>
      </c>
    </row>
    <row r="9" spans="1:6" x14ac:dyDescent="0.25">
      <c r="A9" t="s">
        <v>97</v>
      </c>
      <c r="B9" s="18">
        <v>104712000</v>
      </c>
      <c r="C9" s="18">
        <v>361562000</v>
      </c>
      <c r="D9" s="18">
        <v>-152951000</v>
      </c>
      <c r="E9" s="18">
        <v>-128198000</v>
      </c>
      <c r="F9" s="6" t="s">
        <v>98</v>
      </c>
    </row>
    <row r="10" spans="1:6" x14ac:dyDescent="0.25">
      <c r="A10" t="s">
        <v>99</v>
      </c>
      <c r="B10" s="18">
        <v>31375801000</v>
      </c>
      <c r="C10" s="18">
        <v>31610449000</v>
      </c>
      <c r="D10" s="18">
        <v>31555428000</v>
      </c>
      <c r="E10" s="18">
        <v>33994990000</v>
      </c>
      <c r="F10" s="6" t="s">
        <v>100</v>
      </c>
    </row>
    <row r="11" spans="1:6" x14ac:dyDescent="0.25">
      <c r="A11" t="s">
        <v>101</v>
      </c>
      <c r="B11" s="18">
        <v>2062994000</v>
      </c>
      <c r="C11" s="18">
        <v>2415532000</v>
      </c>
      <c r="D11" s="18">
        <v>2927833000</v>
      </c>
      <c r="E11" s="18">
        <v>5911893000</v>
      </c>
      <c r="F11" s="6" t="s">
        <v>102</v>
      </c>
    </row>
    <row r="12" spans="1:6" x14ac:dyDescent="0.25">
      <c r="A12" t="s">
        <v>34</v>
      </c>
      <c r="B12" s="34">
        <v>277275000</v>
      </c>
      <c r="C12" s="34">
        <v>310232000</v>
      </c>
      <c r="D12" s="34">
        <v>358627000</v>
      </c>
      <c r="E12" s="34">
        <v>412993000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