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<sst xmlns="http://schemas.openxmlformats.org/spreadsheetml/2006/main" count="111" uniqueCount="99">
  <si>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MGM Resorts International (MGM)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</si>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</sst>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0.10136235579297104</v>
      </c>
    </row>
    <row r="7" spans="1:2" x14ac:dyDescent="0.25">
      <c r="A7" t="s">
        <v>5</v>
      </c>
      <c r="B7" s="6">
        <v>0.03515600059935409</v>
      </c>
    </row>
    <row r="8" spans="1:2" x14ac:dyDescent="0.25">
      <c r="A8" t="s">
        <v>6</v>
      </c>
      <c r="B8" s="6">
        <v>0.10717202971557542</v>
      </c>
    </row>
    <row r="9" spans="1:2" x14ac:dyDescent="0.25">
      <c r="A9" t="s">
        <v>7</v>
      </c>
      <c r="B9" s="6">
        <v>0.10546386027853888</v>
      </c>
    </row>
    <row r="10" spans="1:2" x14ac:dyDescent="0.25">
      <c r="A10" t="s">
        <v>8</v>
      </c>
      <c r="B10" s="6">
        <v>0.060903503058006264</v>
      </c>
    </row>
    <row r="11" spans="1:2" x14ac:dyDescent="0.25">
      <c r="A11" t="s">
        <v>9</v>
      </c>
      <c r="B11" s="6">
        <v>0.33593175111679313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16.550290204661916</v>
      </c>
    </row>
    <row r="14" spans="1:3" x14ac:dyDescent="0.25">
      <c r="A14" t="s">
        <v>12</v>
      </c>
      <c r="B14" s="6">
        <v>0.13922191569351167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1.18894</v>
      </c>
      <c r="C19" s="8" t="s">
        <v>19</v>
      </c>
    </row>
    <row r="20" spans="1:2" x14ac:dyDescent="0.25">
      <c r="A20" t="s">
        <v>20</v>
      </c>
      <c r="B20" s="10">
        <f>B17+B19*B18</f>
        <v>0.11537170000000002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9673735168</v>
      </c>
    </row>
    <row r="23" spans="1:2" x14ac:dyDescent="0.25">
      <c r="A23" t="s">
        <v>24</v>
      </c>
      <c r="B23" s="11">
        <v>31375801000</v>
      </c>
    </row>
    <row r="24" spans="1:2" x14ac:dyDescent="0.25">
      <c r="A24" t="s">
        <v>25</v>
      </c>
      <c r="B24" s="10">
        <f>B22/(B22+B23)</f>
        <v>0.2356600359236488</v>
      </c>
    </row>
    <row r="25" spans="1:2" x14ac:dyDescent="0.25">
      <c r="A25" t="s">
        <v>26</v>
      </c>
      <c r="B25" s="10">
        <f>1-B24</f>
        <v>0.7643399640763512</v>
      </c>
    </row>
    <row r="26" spans="1:2" x14ac:dyDescent="0.25">
      <c r="A26" t="s">
        <v>27</v>
      </c>
      <c r="B26" s="12">
        <f>B24*B20+B25*B21*(1-B8)</f>
        <v>0.0612960554212757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17537683000</v>
      </c>
      <c r="C29" s="8" t="s">
        <v>30</v>
      </c>
    </row>
    <row r="30" spans="1:2" x14ac:dyDescent="0.25">
      <c r="A30" t="s">
        <v>31</v>
      </c>
      <c r="B30" s="11">
        <v>29312807000</v>
      </c>
    </row>
    <row r="31" spans="1:2" x14ac:dyDescent="0.25">
      <c r="A31" t="s">
        <v>32</v>
      </c>
      <c r="B31" s="13">
        <v>277275000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0.10136235579297104</v>
      </c>
      <c r="C5" s="10">
        <f>Assumptions!B6</f>
        <v>0.10136235579297104</v>
      </c>
      <c r="D5" s="10">
        <f>Assumptions!B6</f>
        <v>0.10136235579297104</v>
      </c>
      <c r="E5" s="10">
        <f>Assumptions!B6</f>
        <v>0.10136235579297104</v>
      </c>
      <c r="F5" s="10">
        <f>Assumptions!B6</f>
        <v>0.10136235579297104</v>
      </c>
    </row>
    <row r="6" spans="1:6" x14ac:dyDescent="0.25">
      <c r="A6" t="s">
        <v>43</v>
      </c>
      <c r="B6" s="18">
        <f>Assumptions!B29*(1+B5)</f>
        <v>19315343864.03034</v>
      </c>
      <c r="C6" s="18">
        <f>B6*(1+C5)</f>
        <v>21273192621.03976</v>
      </c>
      <c r="D6" s="18">
        <f>C6*(1+D5)</f>
        <v>23429493540.346</v>
      </c>
      <c r="E6" s="18">
        <f>D6*(1+E5)</f>
        <v>25804362200.631668</v>
      </c>
      <c r="F6" s="18">
        <f>E6*(1+F5)</f>
        <v>28419953143.02279</v>
      </c>
    </row>
    <row r="7" spans="1:6" x14ac:dyDescent="0.25">
      <c r="A7" t="s">
        <v>5</v>
      </c>
      <c r="B7" s="10">
        <f>Assumptions!B7</f>
        <v>0.03515600059935409</v>
      </c>
      <c r="C7" s="10">
        <f>Assumptions!B7</f>
        <v>0.03515600059935409</v>
      </c>
      <c r="D7" s="10">
        <f>Assumptions!B7</f>
        <v>0.03515600059935409</v>
      </c>
      <c r="E7" s="10">
        <f>Assumptions!B7</f>
        <v>0.03515600059935409</v>
      </c>
      <c r="F7" s="10">
        <f>Assumptions!B7</f>
        <v>0.03515600059935409</v>
      </c>
    </row>
    <row r="8" spans="1:6" x14ac:dyDescent="0.25">
      <c r="A8" t="s">
        <v>44</v>
      </c>
      <c r="B8" s="18">
        <f>B6*B7</f>
        <v>679050240.4605808</v>
      </c>
      <c r="C8" s="18">
        <f>C6*C7</f>
        <v>747880372.5354488</v>
      </c>
      <c r="D8" s="18">
        <f>D6*D7</f>
        <v>823687288.9469668</v>
      </c>
      <c r="E8" s="18">
        <f>E6*E7</f>
        <v>907178172.9913568</v>
      </c>
      <c r="F8" s="18">
        <f>F6*F7</f>
        <v>999131889.7297243</v>
      </c>
    </row>
    <row r="9" spans="1:6" x14ac:dyDescent="0.25">
      <c r="A9" t="s">
        <v>45</v>
      </c>
      <c r="B9" s="18">
        <f>B8*(1-Assumptions!B8)</f>
        <v>606275047.9115709</v>
      </c>
      <c r="C9" s="18">
        <f>C8*(1-Assumptions!B8)</f>
        <v>667728515.0263841</v>
      </c>
      <c r="D9" s="18">
        <f>D8*(1-Assumptions!B8)</f>
        <v>735411050.3396007</v>
      </c>
      <c r="E9" s="18">
        <f>E8*(1-Assumptions!B8)</f>
        <v>809954046.8782058</v>
      </c>
      <c r="F9" s="18">
        <f>F8*(1-Assumptions!B8)</f>
        <v>892052897.1538312</v>
      </c>
    </row>
    <row r="10" spans="1:6" x14ac:dyDescent="0.25">
      <c r="A10" t="s">
        <v>46</v>
      </c>
      <c r="B10" s="18">
        <f>B6*Assumptions!B9</f>
        <v>2037070726.5080287</v>
      </c>
      <c r="C10" s="18">
        <f>C6*Assumptions!B9</f>
        <v>2243553014.2637815</v>
      </c>
      <c r="D10" s="18">
        <f>D6*Assumptions!B9</f>
        <v>2470964833.1359797</v>
      </c>
      <c r="E10" s="18">
        <f>E6*Assumptions!B9</f>
        <v>2721427649.7042284</v>
      </c>
      <c r="F10" s="18">
        <f>F6*Assumptions!B9</f>
        <v>2997277967.3983774</v>
      </c>
    </row>
    <row r="11" spans="1:6" x14ac:dyDescent="0.25">
      <c r="A11" t="s">
        <v>47</v>
      </c>
      <c r="B11" s="18">
        <f>-B6*Assumptions!B10</f>
        <v>-1176372104.0894141</v>
      </c>
      <c r="C11" s="18">
        <f>-C6*Assumptions!B10</f>
        <v>-1295611951.8490512</v>
      </c>
      <c r="D11" s="18">
        <f>-D6*Assumptions!B10</f>
        <v>-1426938231.4820006</v>
      </c>
      <c r="E11" s="18">
        <f>-E6*Assumptions!B10</f>
        <v>-1571576052.196072</v>
      </c>
      <c r="F11" s="18">
        <f>-F6*Assumptions!B10</f>
        <v>-1730874703.154483</v>
      </c>
    </row>
    <row r="12" spans="1:6" x14ac:dyDescent="0.25">
      <c r="A12" t="s">
        <v>48</v>
      </c>
      <c r="B12" s="18">
        <f>-(B6-Assumptions!B29)*Assumptions!B11</f>
        <v>-597172726.945503</v>
      </c>
      <c r="C12" s="18">
        <f>-(C6-B6)*Assumptions!B11</f>
        <v>-657703561.364012</v>
      </c>
      <c r="D12" s="18">
        <f>-(D6-C6)*Assumptions!B11</f>
        <v>-724369943.7572961</v>
      </c>
      <c r="E12" s="18">
        <f>-(E6-D6)*Assumptions!B11</f>
        <v>-797793787.7221568</v>
      </c>
      <c r="F12" s="18">
        <f>-(F6-E6)*Assumptions!B11</f>
        <v>-878660045.4826725</v>
      </c>
    </row>
    <row r="13" spans="1:6" x14ac:dyDescent="0.25">
      <c r="A13" s="19" t="s">
        <v>49</v>
      </c>
      <c r="B13" s="20">
        <f>B9+B10+B11+B12</f>
        <v>869800943.3846824</v>
      </c>
      <c r="C13" s="20">
        <f>C9+C10+C11+C12</f>
        <v>957966016.0771027</v>
      </c>
      <c r="D13" s="20">
        <f>D9+D10+D11+D12</f>
        <v>1055067708.2362835</v>
      </c>
      <c r="E13" s="20">
        <f>E9+E10+E11+E12</f>
        <v>1162011856.6642053</v>
      </c>
      <c r="F13" s="20">
        <f>F9+F10+F11+F12</f>
        <v>1279796115.9150536</v>
      </c>
    </row>
    <row r="14" spans="1:6" x14ac:dyDescent="0.25">
      <c r="A14" t="s">
        <v>50</v>
      </c>
      <c r="B14" s="21">
        <f>1/(1+Assumptions!$B$26)^(1-0.5*Assumptions!$B$32)</f>
        <v>0.9706926137250477</v>
      </c>
      <c r="C14" s="21">
        <f>1/(1+Assumptions!$B$26)^(2-0.5*Assumptions!$B$32)</f>
        <v>0.914629437061025</v>
      </c>
      <c r="D14" s="21">
        <f>1/(1+Assumptions!$B$26)^(3-0.5*Assumptions!$B$32)</f>
        <v>0.8618042367998512</v>
      </c>
      <c r="E14" s="21">
        <f>1/(1+Assumptions!$B$26)^(4-0.5*Assumptions!$B$32)</f>
        <v>0.8120300008632018</v>
      </c>
      <c r="F14" s="21">
        <f>1/(1+Assumptions!$B$26)^(5-0.5*Assumptions!$B$32)</f>
        <v>0.7651305182142328</v>
      </c>
    </row>
    <row r="15" spans="1:6" x14ac:dyDescent="0.25">
      <c r="A15" s="19" t="s">
        <v>51</v>
      </c>
      <c r="B15" s="20">
        <f>B13*B14</f>
        <v>844309351.1545895</v>
      </c>
      <c r="C15" s="20">
        <f>C13*C14</f>
        <v>876183918.0081931</v>
      </c>
      <c r="D15" s="20">
        <f>D13*D14</f>
        <v>909261821.0687385</v>
      </c>
      <c r="E15" s="20">
        <f>E13*E14</f>
        <v>943588488.9700853</v>
      </c>
      <c r="F15" s="20">
        <f>F13*F14</f>
        <v>979211065.3786473</v>
      </c>
    </row>
    <row r="17" spans="1:2" x14ac:dyDescent="0.25">
      <c r="A17" s="22" t="s">
        <v>52</v>
      </c>
      <c r="B17" s="23">
        <f>SUM(B15:F15)</f>
        <v>4552554644.580254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1279796115.9150536</v>
      </c>
    </row>
    <row r="5" spans="1:2" x14ac:dyDescent="0.25">
      <c r="A5" t="s">
        <v>56</v>
      </c>
      <c r="B5" s="18">
        <f>IF(Assumptions!$B$33=0,B4,B4-Forecast!F11-Forecast!F10-Forecast!F12)</f>
        <v>892052897.1538312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0.17956942967970602</v>
      </c>
    </row>
    <row r="7" spans="1:2" x14ac:dyDescent="0.25">
      <c r="A7" t="s">
        <v>58</v>
      </c>
      <c r="B7" s="18">
        <f>-MAX(Forecast!F9,0)*B6</f>
        <v>-160185429.98604292</v>
      </c>
    </row>
    <row r="8" spans="1:2" x14ac:dyDescent="0.25">
      <c r="A8" t="s">
        <v>59</v>
      </c>
      <c r="B8" s="18">
        <f>IF(OR(Assumptions!$B$33=0,Assumptions!B12&lt;=0),B5,MAX(B5+B7,0))</f>
        <v>731867467.1677883</v>
      </c>
    </row>
    <row r="9" spans="1:2" x14ac:dyDescent="0.25">
      <c r="A9" t="s">
        <v>60</v>
      </c>
      <c r="B9" s="18">
        <f>B8*(1+Assumptions!B12)/(Assumptions!B26-Assumptions!B12)</f>
        <v>20667925071.749214</v>
      </c>
    </row>
    <row r="10" spans="1:2" x14ac:dyDescent="0.25">
      <c r="A10" t="s">
        <v>61</v>
      </c>
      <c r="B10" s="18">
        <f>B9/(1+Assumptions!B26)^(5-0.5*Assumptions!B32)</f>
        <v>15813660220.560411</v>
      </c>
    </row>
    <row r="11" spans="1:2" x14ac:dyDescent="0.25">
      <c r="A11" t="s">
        <v>62</v>
      </c>
      <c r="B11" s="18">
        <f>Forecast!B17+B10</f>
        <v>20366214865.140663</v>
      </c>
    </row>
    <row r="12" spans="1:2" x14ac:dyDescent="0.25">
      <c r="A12" t="s">
        <v>63</v>
      </c>
      <c r="B12" s="18">
        <f>-Assumptions!B30</f>
        <v>-29312807000</v>
      </c>
    </row>
    <row r="13" spans="1:2" x14ac:dyDescent="0.25">
      <c r="A13" t="s">
        <v>64</v>
      </c>
      <c r="B13" s="18">
        <f>B11+B12</f>
        <v>-8946592134.859337</v>
      </c>
    </row>
    <row r="14" spans="1:2" x14ac:dyDescent="0.25">
      <c r="A14" s="19" t="s">
        <v>65</v>
      </c>
      <c r="B14" s="24">
        <f>B13/Assumptions!B31</f>
        <v>-32.26613338692395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3996409857.128102</v>
      </c>
    </row>
    <row r="18" spans="1:2" x14ac:dyDescent="0.25">
      <c r="A18" t="s">
        <v>60</v>
      </c>
      <c r="B18" s="18">
        <f>B17*Assumptions!B13</f>
        <v>66141742912.241554</v>
      </c>
    </row>
    <row r="19" spans="1:2" x14ac:dyDescent="0.25">
      <c r="A19" t="s">
        <v>61</v>
      </c>
      <c r="B19" s="18">
        <f>B18/(1+Assumptions!B26)^(5-0.5*Assumptions!B32)</f>
        <v>50607066030.03594</v>
      </c>
    </row>
    <row r="20" spans="1:2" x14ac:dyDescent="0.25">
      <c r="A20" t="s">
        <v>62</v>
      </c>
      <c r="B20" s="18">
        <f>Forecast!B17+B19</f>
        <v>55159620674.616196</v>
      </c>
    </row>
    <row r="21" spans="1:2" x14ac:dyDescent="0.25">
      <c r="A21" t="s">
        <v>63</v>
      </c>
      <c r="B21" s="18">
        <f>-Assumptions!B30</f>
        <v>-29312807000</v>
      </c>
    </row>
    <row r="22" spans="1:2" x14ac:dyDescent="0.25">
      <c r="A22" t="s">
        <v>64</v>
      </c>
      <c r="B22" s="18">
        <f>B20+B21</f>
        <v>25846813674.616196</v>
      </c>
    </row>
    <row r="23" spans="1:2" x14ac:dyDescent="0.25">
      <c r="A23" s="19" t="s">
        <v>65</v>
      </c>
      <c r="B23" s="25">
        <f>B22/Assumptions!B31</f>
        <v>93.21725245556287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-32.26613338692395</v>
      </c>
    </row>
    <row r="29" spans="1:2" x14ac:dyDescent="0.25">
      <c r="A29" s="19" t="s">
        <v>73</v>
      </c>
      <c r="B29" s="12">
        <f>B28/B26-1</f>
        <v>-1.8533756515980944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0.041296</v>
      </c>
      <c r="B5" s="31">
        <v>3.887294837263467</v>
      </c>
      <c r="C5" s="31">
        <v>21.5200852057459</v>
      </c>
      <c r="D5" s="31">
        <v>49.914095044770754</v>
      </c>
      <c r="E5" s="31">
        <v>103.35918731982458</v>
      </c>
      <c r="F5" s="31">
        <v>241.53869057926127</v>
      </c>
    </row>
    <row r="6" spans="1:6" x14ac:dyDescent="0.25">
      <c r="A6" s="30">
        <v>0.051296</v>
      </c>
      <c r="B6" s="31">
        <v>-24.798320243976658</v>
      </c>
      <c r="C6" s="31">
        <v>-17.19893541662432</v>
      </c>
      <c r="D6" s="31">
        <v>-6.74469358114501</v>
      </c>
      <c r="E6" s="31">
        <v>8.575245566833237</v>
      </c>
      <c r="F6" s="31">
        <v>33.23961666694496</v>
      </c>
    </row>
    <row r="7" spans="1:6" x14ac:dyDescent="0.25">
      <c r="A7" s="30">
        <v>0.061296</v>
      </c>
      <c r="B7" s="31">
        <v>-41.14494217708315</v>
      </c>
      <c r="C7" s="31">
        <v>-37.23229902243843</v>
      </c>
      <c r="D7" s="32">
        <v>-32.266030693533274</v>
      </c>
      <c r="E7" s="31">
        <v>-25.741140461906962</v>
      </c>
      <c r="F7" s="31">
        <v>-16.768545252535986</v>
      </c>
    </row>
    <row r="8" spans="1:6" x14ac:dyDescent="0.25">
      <c r="A8" s="30">
        <v>0.071296</v>
      </c>
      <c r="B8" s="31">
        <v>-51.72523522468896</v>
      </c>
      <c r="C8" s="31">
        <v>-49.50481615619146</v>
      </c>
      <c r="D8" s="31">
        <v>-46.82309003430216</v>
      </c>
      <c r="E8" s="31">
        <v>-43.51249569569102</v>
      </c>
      <c r="F8" s="31">
        <v>-39.31314160270021</v>
      </c>
    </row>
    <row r="9" spans="1:6" x14ac:dyDescent="0.25">
      <c r="A9" s="30">
        <v>0.081296</v>
      </c>
      <c r="B9" s="31">
        <v>-59.14638198193822</v>
      </c>
      <c r="C9" s="31">
        <v>-57.81227768785724</v>
      </c>
      <c r="D9" s="31">
        <v>-56.25563132810692</v>
      </c>
      <c r="E9" s="31">
        <v>-54.411367049111135</v>
      </c>
      <c r="F9" s="31">
        <v>-52.18629604862604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17537683000</v>
      </c>
      <c r="C5" s="18">
        <v>17240545000</v>
      </c>
      <c r="D5" s="18">
        <v>16164249000</v>
      </c>
      <c r="E5" s="18">
        <v>13127485000</v>
      </c>
      <c r="F5" s="8" t="s">
        <v>84</v>
      </c>
    </row>
    <row r="6" spans="1:6" x14ac:dyDescent="0.25">
      <c r="A6" t="s">
        <v>44</v>
      </c>
      <c r="B6" s="18">
        <v>1337847000</v>
      </c>
      <c r="C6" s="18">
        <v>1670397000</v>
      </c>
      <c r="D6" s="18">
        <v>1583503000</v>
      </c>
      <c r="E6" s="18">
        <v>-1713283000</v>
      </c>
      <c r="F6" s="8" t="s">
        <v>85</v>
      </c>
    </row>
    <row r="7" spans="1:6" x14ac:dyDescent="0.25">
      <c r="A7" t="s">
        <v>86</v>
      </c>
      <c r="B7" s="18">
        <v>1017794000</v>
      </c>
      <c r="C7" s="18">
        <v>831097000</v>
      </c>
      <c r="D7" s="18">
        <v>814128000</v>
      </c>
      <c r="E7" s="18">
        <v>3482050000</v>
      </c>
      <c r="F7" s="8" t="s">
        <v>87</v>
      </c>
    </row>
    <row r="8" spans="1:6" x14ac:dyDescent="0.25">
      <c r="A8" t="s">
        <v>88</v>
      </c>
      <c r="B8" s="18">
        <v>1068927000</v>
      </c>
      <c r="C8" s="18">
        <v>1150589000</v>
      </c>
      <c r="D8" s="18">
        <v>931813000</v>
      </c>
      <c r="E8" s="18">
        <v>765067000</v>
      </c>
      <c r="F8" s="8" t="s">
        <v>89</v>
      </c>
    </row>
    <row r="9" spans="1:6" x14ac:dyDescent="0.25">
      <c r="A9" t="s">
        <v>90</v>
      </c>
      <c r="B9" s="18">
        <v>104712000</v>
      </c>
      <c r="C9" s="18">
        <v>361562000</v>
      </c>
      <c r="D9" s="18">
        <v>-152951000</v>
      </c>
      <c r="E9" s="18">
        <v>-128198000</v>
      </c>
      <c r="F9" s="8" t="s">
        <v>91</v>
      </c>
    </row>
    <row r="10" spans="1:6" x14ac:dyDescent="0.25">
      <c r="A10" t="s">
        <v>92</v>
      </c>
      <c r="B10" s="18">
        <v>31375801000</v>
      </c>
      <c r="C10" s="18">
        <v>31610449000</v>
      </c>
      <c r="D10" s="18">
        <v>31555428000</v>
      </c>
      <c r="E10" s="18">
        <v>33994990000</v>
      </c>
      <c r="F10" s="8" t="s">
        <v>93</v>
      </c>
    </row>
    <row r="11" spans="1:6" x14ac:dyDescent="0.25">
      <c r="A11" t="s">
        <v>94</v>
      </c>
      <c r="B11" s="18">
        <v>2062994000</v>
      </c>
      <c r="C11" s="18">
        <v>2415532000</v>
      </c>
      <c r="D11" s="18">
        <v>2927833000</v>
      </c>
      <c r="E11" s="18">
        <v>5911893000</v>
      </c>
      <c r="F11" s="8" t="s">
        <v>95</v>
      </c>
    </row>
    <row r="12" spans="1:6" x14ac:dyDescent="0.25">
      <c r="A12" t="s">
        <v>32</v>
      </c>
      <c r="B12" s="34">
        <v>277275000</v>
      </c>
      <c r="C12" s="34">
        <v>310232000</v>
      </c>
      <c r="D12" s="34">
        <v>358627000</v>
      </c>
      <c r="E12" s="34">
        <v>412993000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