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<sst xmlns="http://schemas.openxmlformats.org/spreadsheetml/2006/main" count="114" uniqueCount="102">
  <si>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Mirvac Group (MGR.AX)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</si>
  <si>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</si>
  <si>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</si>
  <si>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</si>
  <si>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</si>
  <si>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</si>
  <si>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</si>
  <si>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</si>
  <si>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</si>
  <si>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</si>
  <si>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</si>
  <si>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</si>
  <si>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</si>
  <si>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</si>
  <si>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</si>
  <si>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</si>
  <si>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</si>
  <si>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</si>
  <si>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</si>
  <si>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</si>
  <si>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</si>
  <si>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</si>
  <si>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</si>
  <si>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</si>
  <si>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</si>
  <si>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</si>
  <si>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</si>
  <si>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</si>
  <si>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</si>
  <si>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</si>
  <si>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</si>
  <si>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</si>
  <si>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</si>
  <si>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</si>
  <si>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</si>
  <si>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</si>
  <si>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</si>
  <si>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</si>
  <si>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</si>
  <si>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</si>
  <si>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</si>
  <si>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</si>
  <si>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</si>
  <si>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</si>
  <si>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</si>
  <si>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</si>
  <si>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</si>
  <si>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</si>
  <si>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</si>
  <si>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</si>
  <si>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</si>
  <si>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</si>
  <si>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</si>
  <si>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</si>
  <si>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</si>
  <si>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</si>
  <si>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</si>
  <si>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</si>
  <si>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</si>
  <si>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</si>
  <si>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</si>
  <si>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</si>
  <si>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</si>
  <si>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</si>
  <si>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</si>
  <si>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</si>
  <si>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</si>
  <si>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</si>
  <si>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</si>
  <si>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</si>
  <si>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</si>
  <si>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</si>
  <si>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</si>
  <si>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</si>
  <si>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</si>
  <si>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</si>
  <si>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</si>
  <si>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</si>
  <si>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</si>
  <si>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</si>
  <si>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</si>
  <si>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</si>
  <si>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</si>
  <si>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</si>
  <si>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</si>
  <si>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</si>
  <si>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</si>
  <si>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</si>
  <si>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</si>
  <si>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</si>
  <si>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</si>
  <si>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</si>
  <si>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</si>
  <si>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</si>
  <si>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</si>
  <si>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</si>
  <si>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</si>
  <si>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</si>
  <si>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Some line items were not reported and have been derived. Each one is labelled in the workings below.</t>
  </si>
  <si>
    <t>Adjusted: Reported capital expenditure averages just 0.15% of revenue, which is too low to be the company's real investment - property trusts and similar structures invest through lines that are not reported as capex. Capex has been set to 2.96%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</si>
  <si>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20.1x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</si>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</sst>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0.12963164738004163</v>
      </c>
    </row>
    <row r="7" spans="1:2" x14ac:dyDescent="0.25">
      <c r="A7" t="s">
        <v>5</v>
      </c>
      <c r="B7" s="6">
        <v>0.1643348426681624</v>
      </c>
    </row>
    <row r="8" spans="1:2" x14ac:dyDescent="0.25">
      <c r="A8" t="s">
        <v>6</v>
      </c>
      <c r="B8" s="6">
        <v>0.07513661202185792</v>
      </c>
    </row>
    <row r="9" spans="1:2" x14ac:dyDescent="0.25">
      <c r="A9" t="s">
        <v>7</v>
      </c>
      <c r="B9" s="6">
        <v>0.029596075619646944</v>
      </c>
    </row>
    <row r="10" spans="1:2" x14ac:dyDescent="0.25">
      <c r="A10" t="s">
        <v>8</v>
      </c>
      <c r="B10" s="6">
        <v>0.029596075619646944</v>
      </c>
    </row>
    <row r="11" spans="1:2" x14ac:dyDescent="0.25">
      <c r="A11" t="s">
        <v>9</v>
      </c>
      <c r="B11" s="6">
        <v>-0.11595466434176112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0.08818868036218094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0.93769</v>
      </c>
      <c r="C19" s="8" t="s">
        <v>19</v>
      </c>
    </row>
    <row r="20" spans="1:2" x14ac:dyDescent="0.25">
      <c r="A20" t="s">
        <v>20</v>
      </c>
      <c r="B20" s="10">
        <f>B17+B19*B18</f>
        <v>0.10974139999999999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6885526016</v>
      </c>
    </row>
    <row r="23" spans="1:2" x14ac:dyDescent="0.25">
      <c r="A23" t="s">
        <v>24</v>
      </c>
      <c r="B23" s="11">
        <v>3832000000</v>
      </c>
    </row>
    <row r="24" spans="1:2" x14ac:dyDescent="0.25">
      <c r="A24" t="s">
        <v>25</v>
      </c>
      <c r="B24" s="10">
        <f>B22/(B22+B23)</f>
        <v>0.6424547984041021</v>
      </c>
    </row>
    <row r="25" spans="1:2" x14ac:dyDescent="0.25">
      <c r="A25" t="s">
        <v>26</v>
      </c>
      <c r="B25" s="10">
        <f>1-B24</f>
        <v>0.35754520159589787</v>
      </c>
    </row>
    <row r="26" spans="1:2" x14ac:dyDescent="0.25">
      <c r="A26" t="s">
        <v>27</v>
      </c>
      <c r="B26" s="12">
        <f>B24*B20+B25*B21*(1-B8)</f>
        <v>0.08818868036218094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2599000000</v>
      </c>
      <c r="C29" s="8" t="s">
        <v>30</v>
      </c>
    </row>
    <row r="30" spans="1:2" x14ac:dyDescent="0.25">
      <c r="A30" t="s">
        <v>31</v>
      </c>
      <c r="B30" s="11">
        <v>3594000000</v>
      </c>
    </row>
    <row r="31" spans="1:2" x14ac:dyDescent="0.25">
      <c r="A31" t="s">
        <v>32</v>
      </c>
      <c r="B31" s="13">
        <v>3945060028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0.12963164738004163</v>
      </c>
      <c r="C5" s="10">
        <f>Assumptions!B6</f>
        <v>0.12963164738004163</v>
      </c>
      <c r="D5" s="10">
        <f>Assumptions!B6</f>
        <v>0.12963164738004163</v>
      </c>
      <c r="E5" s="10">
        <f>Assumptions!B6</f>
        <v>0.12963164738004163</v>
      </c>
      <c r="F5" s="10">
        <f>Assumptions!B6</f>
        <v>0.12963164738004163</v>
      </c>
    </row>
    <row r="6" spans="1:6" x14ac:dyDescent="0.25">
      <c r="A6" t="s">
        <v>43</v>
      </c>
      <c r="B6" s="18">
        <f>Assumptions!B29*(1+B5)</f>
        <v>2935912651.540728</v>
      </c>
      <c r="C6" s="18">
        <f>B6*(1+C5)</f>
        <v>3316499845.123859</v>
      </c>
      <c r="D6" s="18">
        <f>C6*(1+D5)</f>
        <v>3746423183.5829177</v>
      </c>
      <c r="E6" s="18">
        <f>D6*(1+E5)</f>
        <v>4232078192.6535516</v>
      </c>
      <c r="F6" s="18">
        <f>E6*(1+F5)</f>
        <v>4780689460.60838</v>
      </c>
    </row>
    <row r="7" spans="1:6" x14ac:dyDescent="0.25">
      <c r="A7" t="s">
        <v>5</v>
      </c>
      <c r="B7" s="10">
        <f>Assumptions!B7</f>
        <v>0.1643348426681624</v>
      </c>
      <c r="C7" s="10">
        <f>Assumptions!B7</f>
        <v>0.1643348426681624</v>
      </c>
      <c r="D7" s="10">
        <f>Assumptions!B7</f>
        <v>0.1643348426681624</v>
      </c>
      <c r="E7" s="10">
        <f>Assumptions!B7</f>
        <v>0.1643348426681624</v>
      </c>
      <c r="F7" s="10">
        <f>Assumptions!B7</f>
        <v>0.1643348426681624</v>
      </c>
    </row>
    <row r="8" spans="1:6" x14ac:dyDescent="0.25">
      <c r="A8" t="s">
        <v>44</v>
      </c>
      <c r="B8" s="18">
        <f>B6*B7</f>
        <v>482472743.67841303</v>
      </c>
      <c r="C8" s="18">
        <f>C6*C7</f>
        <v>545016480.2574143</v>
      </c>
      <c r="D8" s="18">
        <f>D6*D7</f>
        <v>615667864.4424548</v>
      </c>
      <c r="E8" s="18">
        <f>E6*E7</f>
        <v>695477903.9490825</v>
      </c>
      <c r="F8" s="18">
        <f>F6*F7</f>
        <v>785633850.3544203</v>
      </c>
    </row>
    <row r="9" spans="1:6" x14ac:dyDescent="0.25">
      <c r="A9" t="s">
        <v>45</v>
      </c>
      <c r="B9" s="18">
        <f>B8*(1-Assumptions!B8)</f>
        <v>446221376.3255268</v>
      </c>
      <c r="C9" s="18">
        <f>C8*(1-Assumptions!B8)</f>
        <v>504065788.43479437</v>
      </c>
      <c r="D9" s="18">
        <f>D8*(1-Assumptions!B8)</f>
        <v>569408666.9775163</v>
      </c>
      <c r="E9" s="18">
        <f>E8*(1-Assumptions!B8)</f>
        <v>643222050.5102853</v>
      </c>
      <c r="F9" s="18">
        <f>F8*(1-Assumptions!B8)</f>
        <v>726603984.5491018</v>
      </c>
    </row>
    <row r="10" spans="1:6" x14ac:dyDescent="0.25">
      <c r="A10" t="s">
        <v>46</v>
      </c>
      <c r="B10" s="18">
        <f>B6*Assumptions!B9</f>
        <v>86891492.84767756</v>
      </c>
      <c r="C10" s="18">
        <f>C6*Assumptions!B9</f>
        <v>98155380.20883311</v>
      </c>
      <c r="D10" s="18">
        <f>D6*Assumptions!B9</f>
        <v>110879423.84451848</v>
      </c>
      <c r="E10" s="18">
        <f>E6*Assumptions!B9</f>
        <v>125252906.21803328</v>
      </c>
      <c r="F10" s="18">
        <f>F6*Assumptions!B9</f>
        <v>141489646.79021478</v>
      </c>
    </row>
    <row r="11" spans="1:6" x14ac:dyDescent="0.25">
      <c r="A11" t="s">
        <v>47</v>
      </c>
      <c r="B11" s="18">
        <f>-B6*Assumptions!B10</f>
        <v>-86891492.84767756</v>
      </c>
      <c r="C11" s="18">
        <f>-C6*Assumptions!B10</f>
        <v>-98155380.20883311</v>
      </c>
      <c r="D11" s="18">
        <f>-D6*Assumptions!B10</f>
        <v>-110879423.84451848</v>
      </c>
      <c r="E11" s="18">
        <f>-E6*Assumptions!B10</f>
        <v>-125252906.21803328</v>
      </c>
      <c r="F11" s="18">
        <f>-F6*Assumptions!B10</f>
        <v>-141489646.79021478</v>
      </c>
    </row>
    <row r="12" spans="1:6" x14ac:dyDescent="0.25">
      <c r="A12" t="s">
        <v>48</v>
      </c>
      <c r="B12" s="18">
        <f>-(B6-Assumptions!B29)*Assumptions!B11</f>
        <v>39066593.42189785</v>
      </c>
      <c r="C12" s="18">
        <f>-(C6-B6)*Assumptions!B11</f>
        <v>44130860.2847048</v>
      </c>
      <c r="D12" s="18">
        <f>-(D6-C6)*Assumptions!B11</f>
        <v>49851616.403709516</v>
      </c>
      <c r="E12" s="18">
        <f>-(E6-D6)*Assumptions!B11</f>
        <v>56313963.562680304</v>
      </c>
      <c r="F12" s="18">
        <f>-(F6-E6)*Assumptions!B11</f>
        <v>63614035.42981014</v>
      </c>
    </row>
    <row r="13" spans="1:6" x14ac:dyDescent="0.25">
      <c r="A13" s="19" t="s">
        <v>49</v>
      </c>
      <c r="B13" s="20">
        <f>B9+B10+B11+B12</f>
        <v>485287969.74742454</v>
      </c>
      <c r="C13" s="20">
        <f>C9+C10+C11+C12</f>
        <v>548196648.7194992</v>
      </c>
      <c r="D13" s="20">
        <f>D9+D10+D11+D12</f>
        <v>619260283.381226</v>
      </c>
      <c r="E13" s="20">
        <f>E9+E10+E11+E12</f>
        <v>699536014.0729656</v>
      </c>
      <c r="F13" s="20">
        <f>F9+F10+F11+F12</f>
        <v>790218019.978912</v>
      </c>
    </row>
    <row r="14" spans="1:6" x14ac:dyDescent="0.25">
      <c r="A14" t="s">
        <v>50</v>
      </c>
      <c r="B14" s="21">
        <f>1/(1+Assumptions!$B$26)^(1-0.5*Assumptions!$B$32)</f>
        <v>0.9586231177154695</v>
      </c>
      <c r="C14" s="21">
        <f>1/(1+Assumptions!$B$26)^(2-0.5*Assumptions!$B$32)</f>
        <v>0.8809346531673273</v>
      </c>
      <c r="D14" s="21">
        <f>1/(1+Assumptions!$B$26)^(3-0.5*Assumptions!$B$32)</f>
        <v>0.809542195269047</v>
      </c>
      <c r="E14" s="21">
        <f>1/(1+Assumptions!$B$26)^(4-0.5*Assumptions!$B$32)</f>
        <v>0.7439355048240419</v>
      </c>
      <c r="F14" s="21">
        <f>1/(1+Assumptions!$B$26)^(5-0.5*Assumptions!$B$32)</f>
        <v>0.6836456932969</v>
      </c>
    </row>
    <row r="15" spans="1:6" x14ac:dyDescent="0.25">
      <c r="A15" s="19" t="s">
        <v>51</v>
      </c>
      <c r="B15" s="20">
        <f>B13*B14</f>
        <v>465208266.5490866</v>
      </c>
      <c r="C15" s="20">
        <f>C13*C14</f>
        <v>482925424.60720325</v>
      </c>
      <c r="D15" s="20">
        <f>D13*D14</f>
        <v>501317329.25136983</v>
      </c>
      <c r="E15" s="20">
        <f>E13*E14</f>
        <v>520409677.7719698</v>
      </c>
      <c r="F15" s="20">
        <f>F13*F14</f>
        <v>540229146.1241869</v>
      </c>
    </row>
    <row r="17" spans="1:2" x14ac:dyDescent="0.25">
      <c r="A17" s="22" t="s">
        <v>52</v>
      </c>
      <c r="B17" s="23">
        <f>SUM(B15:F15)</f>
        <v>2510089844.3038163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790218019.978912</v>
      </c>
    </row>
    <row r="5" spans="1:2" x14ac:dyDescent="0.25">
      <c r="A5" t="s">
        <v>56</v>
      </c>
      <c r="B5" s="18">
        <f>IF(Assumptions!$B$33=0,B4,B4-Forecast!F11-Forecast!F10-Forecast!F12)</f>
        <v>726603984.5491018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0.28348309439859887</v>
      </c>
    </row>
    <row r="7" spans="1:2" x14ac:dyDescent="0.25">
      <c r="A7" t="s">
        <v>58</v>
      </c>
      <c r="B7" s="18">
        <f>-MAX(Forecast!F9,0)*B6</f>
        <v>-205979945.9423311</v>
      </c>
    </row>
    <row r="8" spans="1:2" x14ac:dyDescent="0.25">
      <c r="A8" t="s">
        <v>59</v>
      </c>
      <c r="B8" s="18">
        <f>IF(OR(Assumptions!$B$33=0,Assumptions!B12&lt;=0),B5,MAX(B5+B7,0))</f>
        <v>520624038.60677075</v>
      </c>
    </row>
    <row r="9" spans="1:2" x14ac:dyDescent="0.25">
      <c r="A9" t="s">
        <v>60</v>
      </c>
      <c r="B9" s="18">
        <f>B8*(1+Assumptions!B12)/(Assumptions!B26-Assumptions!B12)</f>
        <v>8445177783.635573</v>
      </c>
    </row>
    <row r="10" spans="1:2" x14ac:dyDescent="0.25">
      <c r="A10" t="s">
        <v>61</v>
      </c>
      <c r="B10" s="18">
        <f>B9/(1+Assumptions!B26)^(5-0.5*Assumptions!B32)</f>
        <v>5773509420.909119</v>
      </c>
    </row>
    <row r="11" spans="1:2" x14ac:dyDescent="0.25">
      <c r="A11" t="s">
        <v>62</v>
      </c>
      <c r="B11" s="18">
        <f>Forecast!B17+B10</f>
        <v>8283599265.2129345</v>
      </c>
    </row>
    <row r="12" spans="1:2" x14ac:dyDescent="0.25">
      <c r="A12" t="s">
        <v>63</v>
      </c>
      <c r="B12" s="18">
        <f>-Assumptions!B30</f>
        <v>-3594000000</v>
      </c>
    </row>
    <row r="13" spans="1:2" x14ac:dyDescent="0.25">
      <c r="A13" t="s">
        <v>64</v>
      </c>
      <c r="B13" s="18">
        <f>B11+B12</f>
        <v>4689599265.2129345</v>
      </c>
    </row>
    <row r="14" spans="1:2" x14ac:dyDescent="0.25">
      <c r="A14" s="19" t="s">
        <v>65</v>
      </c>
      <c r="B14" s="24">
        <f>B13/Assumptions!B31</f>
        <v>1.1887269729556913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927123497.1446351</v>
      </c>
    </row>
    <row r="18" spans="1:2" x14ac:dyDescent="0.25">
      <c r="A18" t="s">
        <v>60</v>
      </c>
      <c r="B18" s="18">
        <f>B17*Assumptions!B13</f>
        <v>18542469942.8927</v>
      </c>
    </row>
    <row r="19" spans="1:2" x14ac:dyDescent="0.25">
      <c r="A19" t="s">
        <v>61</v>
      </c>
      <c r="B19" s="18">
        <f>B18/(1+Assumptions!B26)^(5-0.5*Assumptions!B32)</f>
        <v>12676479719.545809</v>
      </c>
    </row>
    <row r="20" spans="1:2" x14ac:dyDescent="0.25">
      <c r="A20" t="s">
        <v>62</v>
      </c>
      <c r="B20" s="18">
        <f>Forecast!B17+B19</f>
        <v>15186569563.849625</v>
      </c>
    </row>
    <row r="21" spans="1:2" x14ac:dyDescent="0.25">
      <c r="A21" t="s">
        <v>63</v>
      </c>
      <c r="B21" s="18">
        <f>-Assumptions!B30</f>
        <v>-3594000000</v>
      </c>
    </row>
    <row r="22" spans="1:2" x14ac:dyDescent="0.25">
      <c r="A22" t="s">
        <v>64</v>
      </c>
      <c r="B22" s="18">
        <f>B20+B21</f>
        <v>11592569563.849625</v>
      </c>
    </row>
    <row r="23" spans="1:2" x14ac:dyDescent="0.25">
      <c r="A23" s="19" t="s">
        <v>65</v>
      </c>
      <c r="B23" s="25">
        <f>B22/Assumptions!B31</f>
        <v>2.938502705046704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1.745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1.1887269729556913</v>
      </c>
    </row>
    <row r="29" spans="1:2" x14ac:dyDescent="0.25">
      <c r="A29" s="19" t="s">
        <v>73</v>
      </c>
      <c r="B29" s="12">
        <f>B28/B26-1</f>
        <v>-0.31878110432338613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0.068189</v>
      </c>
      <c r="B5" s="31">
        <v>1.794018048133396</v>
      </c>
      <c r="C5" s="31">
        <v>1.8040545734848352</v>
      </c>
      <c r="D5" s="31">
        <v>1.814091098836273</v>
      </c>
      <c r="E5" s="31">
        <v>1.8241276241877122</v>
      </c>
      <c r="F5" s="31">
        <v>1.8341641495391512</v>
      </c>
    </row>
    <row r="6" spans="1:6" x14ac:dyDescent="0.25">
      <c r="A6" s="30">
        <v>0.078189</v>
      </c>
      <c r="B6" s="31">
        <v>1.444482838329961</v>
      </c>
      <c r="C6" s="31">
        <v>1.4528763069221926</v>
      </c>
      <c r="D6" s="31">
        <v>1.4612697755144235</v>
      </c>
      <c r="E6" s="31">
        <v>1.4696632441066544</v>
      </c>
      <c r="F6" s="31">
        <v>1.4780567126988857</v>
      </c>
    </row>
    <row r="7" spans="1:6" x14ac:dyDescent="0.25">
      <c r="A7" s="30">
        <v>0.088189</v>
      </c>
      <c r="B7" s="31">
        <v>1.1744414873667555</v>
      </c>
      <c r="C7" s="31">
        <v>1.1815803701939152</v>
      </c>
      <c r="D7" s="32">
        <v>1.1887192530210753</v>
      </c>
      <c r="E7" s="31">
        <v>1.1958581358482352</v>
      </c>
      <c r="F7" s="31">
        <v>1.2029970186753949</v>
      </c>
    </row>
    <row r="8" spans="1:6" x14ac:dyDescent="0.25">
      <c r="A8" s="30">
        <v>0.098189</v>
      </c>
      <c r="B8" s="31">
        <v>0.959599157012539</v>
      </c>
      <c r="C8" s="31">
        <v>0.9657524050922146</v>
      </c>
      <c r="D8" s="31">
        <v>0.97190565317189</v>
      </c>
      <c r="E8" s="31">
        <v>0.9780589012515657</v>
      </c>
      <c r="F8" s="31">
        <v>0.9842121493312416</v>
      </c>
    </row>
    <row r="9" spans="1:6" x14ac:dyDescent="0.25">
      <c r="A9" s="30">
        <v>0.108189</v>
      </c>
      <c r="B9" s="31">
        <v>0.7846435818215973</v>
      </c>
      <c r="C9" s="31">
        <v>0.790004865650337</v>
      </c>
      <c r="D9" s="31">
        <v>0.7953661494790765</v>
      </c>
      <c r="E9" s="31">
        <v>0.8007274333078164</v>
      </c>
      <c r="F9" s="31">
        <v>0.8060887171365557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2599000000</v>
      </c>
      <c r="C5" s="18">
        <v>2444000000</v>
      </c>
      <c r="D5" s="18">
        <v>2950000000</v>
      </c>
      <c r="E5" s="18">
        <v>1803000000</v>
      </c>
      <c r="F5" s="8" t="s">
        <v>84</v>
      </c>
    </row>
    <row r="6" spans="1:6" x14ac:dyDescent="0.25">
      <c r="A6" t="s">
        <v>44</v>
      </c>
      <c r="B6" s="18">
        <v>458000000</v>
      </c>
      <c r="C6" s="18">
        <v>267000000</v>
      </c>
      <c r="D6" s="18">
        <v>508000000</v>
      </c>
      <c r="E6" s="18">
        <v>360000000</v>
      </c>
      <c r="F6" s="8" t="s">
        <v>85</v>
      </c>
    </row>
    <row r="7" spans="1:6" x14ac:dyDescent="0.25">
      <c r="A7" t="s">
        <v>86</v>
      </c>
      <c r="B7" s="18">
        <v>63000000</v>
      </c>
      <c r="C7" s="18">
        <v>69000000</v>
      </c>
      <c r="D7" s="18">
        <v>75000000</v>
      </c>
      <c r="E7" s="18">
        <v>73000000</v>
      </c>
      <c r="F7" s="8" t="s">
        <v>87</v>
      </c>
    </row>
    <row r="8" spans="1:6" x14ac:dyDescent="0.25">
      <c r="A8" t="s">
        <v>88</v>
      </c>
      <c r="B8" s="18">
        <v>4000000</v>
      </c>
      <c r="C8" s="18">
        <v>2000000</v>
      </c>
      <c r="D8" s="18">
        <v>2000000</v>
      </c>
      <c r="E8" s="18">
        <v>5000000</v>
      </c>
      <c r="F8" s="8" t="s">
        <v>89</v>
      </c>
    </row>
    <row r="9" spans="1:6" x14ac:dyDescent="0.25">
      <c r="A9" t="s">
        <v>90</v>
      </c>
      <c r="B9" s="18">
        <v>-190000000</v>
      </c>
      <c r="C9" s="18">
        <v>-305000000</v>
      </c>
      <c r="D9" s="18">
        <v>-133000000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3832000000</v>
      </c>
      <c r="C10" s="18">
        <v>4544000000</v>
      </c>
      <c r="D10" s="18">
        <v>4480000000</v>
      </c>
      <c r="E10" s="18">
        <v>4540000000</v>
      </c>
      <c r="F10" s="8" t="s">
        <v>93</v>
      </c>
    </row>
    <row r="11" spans="1:6" x14ac:dyDescent="0.25">
      <c r="A11" t="s">
        <v>94</v>
      </c>
      <c r="B11" s="18">
        <v>238000000</v>
      </c>
      <c r="C11" s="18">
        <v>236000000</v>
      </c>
      <c r="D11" s="18">
        <v>335000000</v>
      </c>
      <c r="E11" s="18">
        <v>122000000</v>
      </c>
      <c r="F11" s="8" t="s">
        <v>95</v>
      </c>
    </row>
    <row r="12" spans="1:6" x14ac:dyDescent="0.25">
      <c r="A12" t="s">
        <v>32</v>
      </c>
      <c r="B12" s="34">
        <v>3945060028</v>
      </c>
      <c r="C12" s="34">
        <v>3945000000</v>
      </c>
      <c r="D12" s="34">
        <v>3944796577</v>
      </c>
      <c r="E12" s="34">
        <v>3944000000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86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2026-09-19T00:06:57Z</dcterms:modified>
</cp:coreProperties>
</file>