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<sst xmlns="http://schemas.openxmlformats.org/spreadsheetml/2006/main" count="114" uniqueCount="102">
  <si>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Mineral Resources Limited (MIN.AX)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</si>
  <si>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</si>
  <si>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</si>
  <si>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</si>
  <si>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</si>
  <si>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</si>
  <si>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</si>
  <si>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</si>
  <si>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</si>
  <si>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</si>
  <si>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</si>
  <si>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</si>
  <si>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</si>
  <si>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</si>
  <si>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</si>
  <si>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</si>
  <si>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</si>
  <si>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</si>
  <si>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</si>
  <si>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</si>
  <si>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</si>
  <si>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</si>
  <si>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</si>
  <si>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</si>
  <si>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</si>
  <si>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</si>
  <si>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</si>
  <si>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</si>
  <si>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</si>
  <si>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</si>
  <si>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</si>
  <si>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</si>
  <si>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</si>
  <si>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</si>
  <si>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</si>
  <si>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</si>
  <si>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</si>
  <si>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</si>
  <si>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</si>
  <si>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</si>
  <si>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</si>
  <si>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</si>
  <si>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</si>
  <si>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</si>
  <si>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</si>
  <si>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</si>
  <si>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</si>
  <si>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</si>
  <si>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</si>
  <si>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</si>
  <si>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</si>
  <si>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</si>
  <si>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</si>
  <si>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</si>
  <si>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</si>
  <si>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</si>
  <si>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</si>
  <si>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</si>
  <si>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</si>
  <si>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</si>
  <si>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</si>
  <si>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</si>
  <si>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</si>
  <si>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</si>
  <si>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</si>
  <si>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</si>
  <si>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</si>
  <si>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</si>
  <si>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</si>
  <si>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</si>
  <si>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</si>
  <si>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</si>
  <si>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</si>
  <si>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</si>
  <si>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</si>
  <si>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</si>
  <si>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</si>
  <si>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</si>
  <si>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</si>
  <si>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</si>
  <si>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</si>
  <si>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</si>
  <si>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</si>
  <si>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</si>
  <si>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</si>
  <si>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</si>
  <si>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</si>
  <si>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</si>
  <si>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</si>
  <si>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</si>
  <si>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</si>
  <si>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</si>
  <si>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</si>
  <si>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</si>
  <si>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</si>
  <si>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</si>
  <si>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</si>
  <si>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</si>
  <si>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</si>
  <si>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</si>
  <si>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39.5% of revenue against depreciation of 11.5%.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</si>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</sst>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0.23644810763409496</v>
      </c>
    </row>
    <row r="7" spans="1:2" x14ac:dyDescent="0.25">
      <c r="A7" t="s">
        <v>5</v>
      </c>
      <c r="B7" s="6">
        <v>0.2048856718580926</v>
      </c>
    </row>
    <row r="8" spans="1:2" x14ac:dyDescent="0.25">
      <c r="A8" t="s">
        <v>6</v>
      </c>
      <c r="B8" s="6">
        <v>0.2827642608873441</v>
      </c>
    </row>
    <row r="9" spans="1:2" x14ac:dyDescent="0.25">
      <c r="A9" t="s">
        <v>7</v>
      </c>
      <c r="B9" s="6">
        <v>0.1150829388211625</v>
      </c>
    </row>
    <row r="10" spans="1:2" x14ac:dyDescent="0.25">
      <c r="A10" t="s">
        <v>8</v>
      </c>
      <c r="B10" s="6">
        <v>0.3946032225482542</v>
      </c>
    </row>
    <row r="11" spans="1:2" x14ac:dyDescent="0.25">
      <c r="A11" t="s">
        <v>9</v>
      </c>
      <c r="B11" s="6">
        <v>0.042539122768349126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5.290234802730866</v>
      </c>
    </row>
    <row r="14" spans="1:3" x14ac:dyDescent="0.25">
      <c r="A14" t="s">
        <v>12</v>
      </c>
      <c r="B14" s="6">
        <v>0.09937592442594373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1.0737</v>
      </c>
      <c r="C19" s="8" t="s">
        <v>19</v>
      </c>
    </row>
    <row r="20" spans="1:2" x14ac:dyDescent="0.25">
      <c r="A20" t="s">
        <v>20</v>
      </c>
      <c r="B20" s="10">
        <f>B17+B19*B18</f>
        <v>0.117902</v>
      </c>
    </row>
    <row r="21" spans="1:3" x14ac:dyDescent="0.25">
      <c r="A21" t="s">
        <v>21</v>
      </c>
      <c r="B21" s="6">
        <v>0.09046126287505597</v>
      </c>
      <c r="C21" s="8" t="s">
        <v>22</v>
      </c>
    </row>
    <row r="22" spans="1:2" x14ac:dyDescent="0.25">
      <c r="A22" t="s">
        <v>23</v>
      </c>
      <c r="B22" s="11">
        <v>10488723456</v>
      </c>
    </row>
    <row r="23" spans="1:2" x14ac:dyDescent="0.25">
      <c r="A23" t="s">
        <v>24</v>
      </c>
      <c r="B23" s="11">
        <v>5829000000</v>
      </c>
    </row>
    <row r="24" spans="1:2" x14ac:dyDescent="0.25">
      <c r="A24" t="s">
        <v>25</v>
      </c>
      <c r="B24" s="10">
        <f>B22/(B22+B23)</f>
        <v>0.6427810524110404</v>
      </c>
    </row>
    <row r="25" spans="1:2" x14ac:dyDescent="0.25">
      <c r="A25" t="s">
        <v>26</v>
      </c>
      <c r="B25" s="10">
        <f>1-B24</f>
        <v>0.35721894758895956</v>
      </c>
    </row>
    <row r="26" spans="1:2" x14ac:dyDescent="0.25">
      <c r="A26" t="s">
        <v>27</v>
      </c>
      <c r="B26" s="12">
        <f>B24*B20+B25*B21*(1-B8)</f>
        <v>0.09896226952385666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6461000000</v>
      </c>
      <c r="C29" s="8" t="s">
        <v>30</v>
      </c>
    </row>
    <row r="30" spans="1:2" x14ac:dyDescent="0.25">
      <c r="A30" t="s">
        <v>31</v>
      </c>
      <c r="B30" s="11">
        <v>4234000000</v>
      </c>
    </row>
    <row r="31" spans="1:2" x14ac:dyDescent="0.25">
      <c r="A31" t="s">
        <v>32</v>
      </c>
      <c r="B31" s="13">
        <v>198763582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0.23644810763409496</v>
      </c>
      <c r="C5" s="10">
        <f>Assumptions!B6</f>
        <v>0.23644810763409496</v>
      </c>
      <c r="D5" s="10">
        <f>Assumptions!B6</f>
        <v>0.23644810763409496</v>
      </c>
      <c r="E5" s="10">
        <f>Assumptions!B6</f>
        <v>0.23644810763409496</v>
      </c>
      <c r="F5" s="10">
        <f>Assumptions!B6</f>
        <v>0.23644810763409496</v>
      </c>
    </row>
    <row r="6" spans="1:6" x14ac:dyDescent="0.25">
      <c r="A6" t="s">
        <v>43</v>
      </c>
      <c r="B6" s="18">
        <f>Assumptions!B29*(1+B5)</f>
        <v>7988691223.423887</v>
      </c>
      <c r="C6" s="18">
        <f>B6*(1+C5)</f>
        <v>9877602145.675568</v>
      </c>
      <c r="D6" s="18">
        <f>C6*(1+D5)</f>
        <v>12213142480.983032</v>
      </c>
      <c r="E6" s="18">
        <f>D6*(1+E5)</f>
        <v>15100916908.877047</v>
      </c>
      <c r="F6" s="18">
        <f>E6*(1+F5)</f>
        <v>18671500135.520733</v>
      </c>
    </row>
    <row r="7" spans="1:6" x14ac:dyDescent="0.25">
      <c r="A7" t="s">
        <v>5</v>
      </c>
      <c r="B7" s="10">
        <f>Assumptions!B7</f>
        <v>0.2048856718580926</v>
      </c>
      <c r="C7" s="10">
        <f>Assumptions!B7</f>
        <v>0.2048856718580926</v>
      </c>
      <c r="D7" s="10">
        <f>Assumptions!B7</f>
        <v>0.2048856718580926</v>
      </c>
      <c r="E7" s="10">
        <f>Assumptions!B7</f>
        <v>0.2048856718580926</v>
      </c>
      <c r="F7" s="10">
        <f>Assumptions!B7</f>
        <v>0.2048856718580926</v>
      </c>
    </row>
    <row r="8" spans="1:6" x14ac:dyDescent="0.25">
      <c r="A8" t="s">
        <v>44</v>
      </c>
      <c r="B8" s="18">
        <f>B6*B7</f>
        <v>1636768368.5780509</v>
      </c>
      <c r="C8" s="18">
        <f>C6*C7</f>
        <v>2023779151.9636755</v>
      </c>
      <c r="D8" s="18">
        <f>D6*D7</f>
        <v>2502297902.7148204</v>
      </c>
      <c r="E8" s="18">
        <f>E6*E7</f>
        <v>3093961506.5485044</v>
      </c>
      <c r="F8" s="18">
        <f>F6*F7</f>
        <v>3825522849.864632</v>
      </c>
    </row>
    <row r="9" spans="1:6" x14ac:dyDescent="0.25">
      <c r="A9" t="s">
        <v>45</v>
      </c>
      <c r="B9" s="18">
        <f>B8*(1-Assumptions!B8)</f>
        <v>1173948770.5932944</v>
      </c>
      <c r="C9" s="18">
        <f>C8*(1-Assumptions!B8)</f>
        <v>1451526735.8594508</v>
      </c>
      <c r="D9" s="18">
        <f>D8*(1-Assumptions!B8)</f>
        <v>1794737485.733713</v>
      </c>
      <c r="E9" s="18">
        <f>E8*(1-Assumptions!B8)</f>
        <v>2219099767.935423</v>
      </c>
      <c r="F9" s="18">
        <f>F8*(1-Assumptions!B8)</f>
        <v>2743801708.7150135</v>
      </c>
    </row>
    <row r="10" spans="1:6" x14ac:dyDescent="0.25">
      <c r="A10" t="s">
        <v>46</v>
      </c>
      <c r="B10" s="18">
        <f>B6*Assumptions!B9</f>
        <v>919362063.326449</v>
      </c>
      <c r="C10" s="18">
        <f>C6*Assumptions!B9</f>
        <v>1136743483.4305646</v>
      </c>
      <c r="D10" s="18">
        <f>D6*Assumptions!B9</f>
        <v>1405524328.953111</v>
      </c>
      <c r="E10" s="18">
        <f>E6*Assumptions!B9</f>
        <v>1737857896.7677555</v>
      </c>
      <c r="F10" s="18">
        <f>F6*Assumptions!B9</f>
        <v>2148771107.7954597</v>
      </c>
    </row>
    <row r="11" spans="1:6" x14ac:dyDescent="0.25">
      <c r="A11" t="s">
        <v>47</v>
      </c>
      <c r="B11" s="18">
        <f>-B6*Assumptions!B10</f>
        <v>-3152363300.7060213</v>
      </c>
      <c r="C11" s="18">
        <f>-C6*Assumptions!B10</f>
        <v>-3897733637.733129</v>
      </c>
      <c r="D11" s="18">
        <f>-D6*Assumptions!B10</f>
        <v>-4819345380.436885</v>
      </c>
      <c r="E11" s="18">
        <f>-E6*Assumptions!B10</f>
        <v>-5958870475.676304</v>
      </c>
      <c r="F11" s="18">
        <f>-F6*Assumptions!B10</f>
        <v>-7367834123.286646</v>
      </c>
    </row>
    <row r="12" spans="1:6" x14ac:dyDescent="0.25">
      <c r="A12" t="s">
        <v>48</v>
      </c>
      <c r="B12" s="18">
        <f>-(B6-Assumptions!B29)*Assumptions!B11</f>
        <v>-64986644.50535821</v>
      </c>
      <c r="C12" s="18">
        <f>-(C6-B6)*Assumptions!B11</f>
        <v>-80352613.62013981</v>
      </c>
      <c r="D12" s="18">
        <f>-(D6-C6)*Assumptions!B11</f>
        <v>-99351837.05407552</v>
      </c>
      <c r="E12" s="18">
        <f>-(E6-D6)*Assumptions!B11</f>
        <v>-122843390.91548264</v>
      </c>
      <c r="F12" s="18">
        <f>-(F6-E6)*Assumptions!B11</f>
        <v>-151889478.2328039</v>
      </c>
    </row>
    <row r="13" spans="1:6" x14ac:dyDescent="0.25">
      <c r="A13" s="19" t="s">
        <v>49</v>
      </c>
      <c r="B13" s="20">
        <f>B9+B10+B11+B12</f>
        <v>-1124039111.291636</v>
      </c>
      <c r="C13" s="20">
        <f>C9+C10+C11+C12</f>
        <v>-1389816032.0632536</v>
      </c>
      <c r="D13" s="20">
        <f>D9+D10+D11+D12</f>
        <v>-1718435402.8041365</v>
      </c>
      <c r="E13" s="20">
        <f>E9+E10+E11+E12</f>
        <v>-2124756201.888608</v>
      </c>
      <c r="F13" s="20">
        <f>F9+F10+F11+F12</f>
        <v>-2627150785.0089765</v>
      </c>
    </row>
    <row r="14" spans="1:6" x14ac:dyDescent="0.25">
      <c r="A14" t="s">
        <v>50</v>
      </c>
      <c r="B14" s="21">
        <f>1/(1+Assumptions!$B$26)^(1-0.5*Assumptions!$B$32)</f>
        <v>0.9539126518853198</v>
      </c>
      <c r="C14" s="21">
        <f>1/(1+Assumptions!$B$26)^(2-0.5*Assumptions!$B$32)</f>
        <v>0.8680121950852946</v>
      </c>
      <c r="D14" s="21">
        <f>1/(1+Assumptions!$B$26)^(3-0.5*Assumptions!$B$32)</f>
        <v>0.7898471304764403</v>
      </c>
      <c r="E14" s="21">
        <f>1/(1+Assumptions!$B$26)^(4-0.5*Assumptions!$B$32)</f>
        <v>0.7187208809440334</v>
      </c>
      <c r="F14" s="21">
        <f>1/(1+Assumptions!$B$26)^(5-0.5*Assumptions!$B$32)</f>
        <v>0.6539995965970978</v>
      </c>
    </row>
    <row r="15" spans="1:6" x14ac:dyDescent="0.25">
      <c r="A15" s="19" t="s">
        <v>51</v>
      </c>
      <c r="B15" s="20">
        <f>B13*B14</f>
        <v>-1072235129.4750227</v>
      </c>
      <c r="C15" s="20">
        <f>C13*C14</f>
        <v>-1206377264.755959</v>
      </c>
      <c r="D15" s="20">
        <f>D13*D14</f>
        <v>-1357301271.813973</v>
      </c>
      <c r="E15" s="20">
        <f>E13*E14</f>
        <v>-1527106649.212679</v>
      </c>
      <c r="F15" s="20">
        <f>F13*F14</f>
        <v>-1718155553.5956194</v>
      </c>
    </row>
    <row r="17" spans="1:2" x14ac:dyDescent="0.25">
      <c r="A17" s="22" t="s">
        <v>52</v>
      </c>
      <c r="B17" s="23">
        <f>SUM(B15:F15)</f>
        <v>-6881175868.853252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-2627150785.0089765</v>
      </c>
    </row>
    <row r="5" spans="1:2" x14ac:dyDescent="0.25">
      <c r="A5" t="s">
        <v>56</v>
      </c>
      <c r="B5" s="18">
        <f>IF(Assumptions!$B$33=0,B4,B4-Forecast!F11-Forecast!F10-Forecast!F12)</f>
        <v>2743801708.7150135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0.25156998683952203</v>
      </c>
    </row>
    <row r="7" spans="1:2" x14ac:dyDescent="0.25">
      <c r="A7" t="s">
        <v>58</v>
      </c>
      <c r="B7" s="18">
        <f>-MAX(Forecast!F9,0)*B6</f>
        <v>-690258159.751694</v>
      </c>
    </row>
    <row r="8" spans="1:2" x14ac:dyDescent="0.25">
      <c r="A8" t="s">
        <v>59</v>
      </c>
      <c r="B8" s="18">
        <f>IF(OR(Assumptions!$B$33=0,Assumptions!B12&lt;=0),B5,MAX(B5+B7,0))</f>
        <v>2053543548.9633195</v>
      </c>
    </row>
    <row r="9" spans="1:2" x14ac:dyDescent="0.25">
      <c r="A9" t="s">
        <v>60</v>
      </c>
      <c r="B9" s="18">
        <f>B8*(1+Assumptions!B12)/(Assumptions!B26-Assumptions!B12)</f>
        <v>28458863569.73496</v>
      </c>
    </row>
    <row r="10" spans="1:2" x14ac:dyDescent="0.25">
      <c r="A10" t="s">
        <v>61</v>
      </c>
      <c r="B10" s="18">
        <f>B9/(1+Assumptions!B26)^(5-0.5*Assumptions!B32)</f>
        <v>18612085294.218506</v>
      </c>
    </row>
    <row r="11" spans="1:2" x14ac:dyDescent="0.25">
      <c r="A11" t="s">
        <v>62</v>
      </c>
      <c r="B11" s="18">
        <f>Forecast!B17+B10</f>
        <v>11730909425.365253</v>
      </c>
    </row>
    <row r="12" spans="1:2" x14ac:dyDescent="0.25">
      <c r="A12" t="s">
        <v>63</v>
      </c>
      <c r="B12" s="18">
        <f>-Assumptions!B30</f>
        <v>-4234000000</v>
      </c>
    </row>
    <row r="13" spans="1:2" x14ac:dyDescent="0.25">
      <c r="A13" t="s">
        <v>64</v>
      </c>
      <c r="B13" s="18">
        <f>B11+B12</f>
        <v>7496909425.365253</v>
      </c>
    </row>
    <row r="14" spans="1:2" x14ac:dyDescent="0.25">
      <c r="A14" s="19" t="s">
        <v>65</v>
      </c>
      <c r="B14" s="24">
        <f>B13/Assumptions!B31</f>
        <v>37.717721475583254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5974293957.660091</v>
      </c>
    </row>
    <row r="18" spans="1:2" x14ac:dyDescent="0.25">
      <c r="A18" t="s">
        <v>60</v>
      </c>
      <c r="B18" s="18">
        <f>B17*Assumptions!B13</f>
        <v>31605417816.558136</v>
      </c>
    </row>
    <row r="19" spans="1:2" x14ac:dyDescent="0.25">
      <c r="A19" t="s">
        <v>61</v>
      </c>
      <c r="B19" s="18">
        <f>B18/(1+Assumptions!B26)^(5-0.5*Assumptions!B32)</f>
        <v>20669930502.31175</v>
      </c>
    </row>
    <row r="20" spans="1:2" x14ac:dyDescent="0.25">
      <c r="A20" t="s">
        <v>62</v>
      </c>
      <c r="B20" s="18">
        <f>Forecast!B17+B19</f>
        <v>13788754633.458496</v>
      </c>
    </row>
    <row r="21" spans="1:2" x14ac:dyDescent="0.25">
      <c r="A21" t="s">
        <v>63</v>
      </c>
      <c r="B21" s="18">
        <f>-Assumptions!B30</f>
        <v>-4234000000</v>
      </c>
    </row>
    <row r="22" spans="1:2" x14ac:dyDescent="0.25">
      <c r="A22" t="s">
        <v>64</v>
      </c>
      <c r="B22" s="18">
        <f>B20+B21</f>
        <v>9554754633.458496</v>
      </c>
    </row>
    <row r="23" spans="1:2" x14ac:dyDescent="0.25">
      <c r="A23" s="19" t="s">
        <v>65</v>
      </c>
      <c r="B23" s="25">
        <f>B22/Assumptions!B31</f>
        <v>48.07095211968205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52.83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37.717721475583254</v>
      </c>
    </row>
    <row r="29" spans="1:2" x14ac:dyDescent="0.25">
      <c r="A29" s="19" t="s">
        <v>73</v>
      </c>
      <c r="B29" s="12">
        <f>B28/B26-1</f>
        <v>-0.28605486512240663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0.078962</v>
      </c>
      <c r="B5" s="31">
        <v>74.40362604152187</v>
      </c>
      <c r="C5" s="31">
        <v>77.77848000936227</v>
      </c>
      <c r="D5" s="31">
        <v>81.68731697654582</v>
      </c>
      <c r="E5" s="31">
        <v>86.29372799307362</v>
      </c>
      <c r="F5" s="31">
        <v>91.8357279522662</v>
      </c>
    </row>
    <row r="6" spans="1:6" x14ac:dyDescent="0.25">
      <c r="A6" s="30">
        <v>0.088962</v>
      </c>
      <c r="B6" s="31">
        <v>52.810056263703736</v>
      </c>
      <c r="C6" s="31">
        <v>54.3357083112578</v>
      </c>
      <c r="D6" s="31">
        <v>56.02588618661028</v>
      </c>
      <c r="E6" s="31">
        <v>57.92244544786607</v>
      </c>
      <c r="F6" s="31">
        <v>60.082754628225274</v>
      </c>
    </row>
    <row r="7" spans="1:6" x14ac:dyDescent="0.25">
      <c r="A7" s="30">
        <v>0.098962</v>
      </c>
      <c r="B7" s="31">
        <v>36.743121984750964</v>
      </c>
      <c r="C7" s="31">
        <v>37.22852549477447</v>
      </c>
      <c r="D7" s="32">
        <v>37.718142833329466</v>
      </c>
      <c r="E7" s="31">
        <v>38.2128905548659</v>
      </c>
      <c r="F7" s="31">
        <v>38.713971807264</v>
      </c>
    </row>
    <row r="8" spans="1:6" x14ac:dyDescent="0.25">
      <c r="A8" s="30">
        <v>0.108962</v>
      </c>
      <c r="B8" s="31">
        <v>25.661343130616682</v>
      </c>
      <c r="C8" s="31">
        <v>26.059070844870032</v>
      </c>
      <c r="D8" s="31">
        <v>26.456798559123392</v>
      </c>
      <c r="E8" s="31">
        <v>26.85452627337675</v>
      </c>
      <c r="F8" s="31">
        <v>27.252253987630098</v>
      </c>
    </row>
    <row r="9" spans="1:6" x14ac:dyDescent="0.25">
      <c r="A9" s="30">
        <v>0.118962</v>
      </c>
      <c r="B9" s="31">
        <v>16.757628088388977</v>
      </c>
      <c r="C9" s="31">
        <v>17.107499641843535</v>
      </c>
      <c r="D9" s="31">
        <v>17.457371195298066</v>
      </c>
      <c r="E9" s="31">
        <v>17.807242748752614</v>
      </c>
      <c r="F9" s="31">
        <v>18.157114302207145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6461000000</v>
      </c>
      <c r="C5" s="18">
        <v>5259000000</v>
      </c>
      <c r="D5" s="18">
        <v>4779100000</v>
      </c>
      <c r="E5" s="18">
        <v>3418000000</v>
      </c>
      <c r="F5" s="8" t="s">
        <v>84</v>
      </c>
    </row>
    <row r="6" spans="1:6" x14ac:dyDescent="0.25">
      <c r="A6" t="s">
        <v>44</v>
      </c>
      <c r="B6" s="18">
        <v>1855000000</v>
      </c>
      <c r="C6" s="18">
        <v>614000000</v>
      </c>
      <c r="D6" s="18">
        <v>1102500000</v>
      </c>
      <c r="E6" s="18">
        <v>632300000</v>
      </c>
      <c r="F6" s="8" t="s">
        <v>85</v>
      </c>
    </row>
    <row r="7" spans="1:6" x14ac:dyDescent="0.25">
      <c r="A7" t="s">
        <v>86</v>
      </c>
      <c r="B7" s="18">
        <v>928000000</v>
      </c>
      <c r="C7" s="18">
        <v>628000000</v>
      </c>
      <c r="D7" s="18">
        <v>450400000</v>
      </c>
      <c r="E7" s="18">
        <v>352200000</v>
      </c>
      <c r="F7" s="8" t="s">
        <v>87</v>
      </c>
    </row>
    <row r="8" spans="1:6" x14ac:dyDescent="0.25">
      <c r="A8" t="s">
        <v>88</v>
      </c>
      <c r="B8" s="18">
        <v>1222000000</v>
      </c>
      <c r="C8" s="18">
        <v>3764000000</v>
      </c>
      <c r="D8" s="18">
        <v>1820900000</v>
      </c>
      <c r="E8" s="18">
        <v>999900000</v>
      </c>
      <c r="F8" s="8" t="s">
        <v>89</v>
      </c>
    </row>
    <row r="9" spans="1:6" x14ac:dyDescent="0.25">
      <c r="A9" t="s">
        <v>90</v>
      </c>
      <c r="B9" s="18">
        <v>543000000</v>
      </c>
      <c r="C9" s="18">
        <v>-658400000</v>
      </c>
      <c r="D9" s="18">
        <v>57900000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5829000000</v>
      </c>
      <c r="C10" s="18">
        <v>5336000000</v>
      </c>
      <c r="D10" s="18">
        <v>3234100000</v>
      </c>
      <c r="E10" s="18">
        <v>3125700000</v>
      </c>
      <c r="F10" s="8" t="s">
        <v>93</v>
      </c>
    </row>
    <row r="11" spans="1:6" x14ac:dyDescent="0.25">
      <c r="A11" t="s">
        <v>94</v>
      </c>
      <c r="B11" s="18">
        <v>1595000000</v>
      </c>
      <c r="C11" s="18">
        <v>908000000</v>
      </c>
      <c r="D11" s="18">
        <v>1379100000</v>
      </c>
      <c r="E11" s="18">
        <v>2428200000</v>
      </c>
      <c r="F11" s="8" t="s">
        <v>95</v>
      </c>
    </row>
    <row r="12" spans="1:6" x14ac:dyDescent="0.25">
      <c r="A12" t="s">
        <v>32</v>
      </c>
      <c r="B12" s="34">
        <v>198763582</v>
      </c>
      <c r="C12" s="34">
        <v>196726472</v>
      </c>
      <c r="D12" s="34">
        <v>192712871</v>
      </c>
      <c r="E12" s="34">
        <v>188890356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2026-09-19T00:06:17Z</dcterms:modified>
</cp:coreProperties>
</file>