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<sst xmlns="http://schemas.openxmlformats.org/spreadsheetml/2006/main" count="119" uniqueCount="106">
  <si>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McCormick &amp; Company, Incorporated (MKC)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</si>
  <si>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</si>
  <si>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</si>
  <si>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</si>
  <si>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</si>
  <si>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</si>
  <si>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</si>
  <si>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</si>
  <si>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</si>
  <si>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</si>
  <si>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</si>
  <si>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</si>
  <si>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</si>
  <si>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</si>
  <si>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</si>
  <si>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</si>
  <si>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</si>
  <si>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</si>
  <si>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</si>
  <si>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</si>
  <si>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</si>
  <si>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</si>
  <si>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</si>
  <si>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</si>
  <si>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5.6x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</si>
  <si>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</si>
  <si>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</si>
  <si>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</si>
  <si>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</si>
  <si>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</si>
  <si>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</si>
  <si>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</si>
  <si>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2025-11-30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</si>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</sst>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0.1588389237314154</v>
      </c>
    </row>
    <row r="7" spans="1:2" x14ac:dyDescent="0.25">
      <c r="A7" t="s">
        <v>4</v>
      </c>
      <c r="B7" s="5">
        <v>0.1542325982242213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0.03159293590150068</v>
      </c>
    </row>
    <row r="10" spans="1:3" x14ac:dyDescent="0.25">
      <c r="A10" t="s">
        <v>7</v>
      </c>
      <c r="B10" s="5">
        <v>0.038544709749823935</v>
      </c>
      <c r="C10" s="6" t="s">
        <v>8</v>
      </c>
    </row>
    <row r="11" spans="1:2" x14ac:dyDescent="0.25">
      <c r="A11" t="s">
        <v>9</v>
      </c>
      <c r="B11" s="5">
        <v>0.09152362193190906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12.881710979443772</v>
      </c>
    </row>
    <row r="14" spans="1:3" x14ac:dyDescent="0.25">
      <c r="A14" t="s">
        <v>12</v>
      </c>
      <c r="B14" s="5">
        <v>0.08657806716765973</v>
      </c>
      <c r="C14" s="6" t="s">
        <v>13</v>
      </c>
    </row>
    <row r="15" spans="1:3" x14ac:dyDescent="0.25">
      <c r="A15" t="s">
        <v>14</v>
      </c>
      <c r="B15" s="5">
        <v>0.03159293590150068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0.77823</v>
      </c>
      <c r="C19" s="6" t="s">
        <v>21</v>
      </c>
    </row>
    <row r="20" spans="1:2" x14ac:dyDescent="0.25">
      <c r="A20" t="s">
        <v>22</v>
      </c>
      <c r="B20" s="9">
        <f>B17+B19*B18</f>
        <v>0.081859129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12976979968</v>
      </c>
    </row>
    <row r="23" spans="1:2" x14ac:dyDescent="0.25">
      <c r="A23" t="s">
        <v>26</v>
      </c>
      <c r="B23" s="10">
        <v>4164000000</v>
      </c>
    </row>
    <row r="24" spans="1:2" x14ac:dyDescent="0.25">
      <c r="A24" t="s">
        <v>27</v>
      </c>
      <c r="B24" s="9">
        <f>B22/(B22+B23)</f>
        <v>0.7570733990837367</v>
      </c>
    </row>
    <row r="25" spans="1:2" x14ac:dyDescent="0.25">
      <c r="A25" t="s">
        <v>28</v>
      </c>
      <c r="B25" s="9">
        <f>1-B24</f>
        <v>0.24292660091626328</v>
      </c>
    </row>
    <row r="26" spans="1:2" x14ac:dyDescent="0.25">
      <c r="A26" t="s">
        <v>29</v>
      </c>
      <c r="B26" s="11">
        <f>B24*B20+B25*B21*(1-B8)</f>
        <v>0.07270892714171615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6840300000</v>
      </c>
      <c r="C29" s="6" t="s">
        <v>32</v>
      </c>
    </row>
    <row r="30" spans="1:2" x14ac:dyDescent="0.25">
      <c r="A30" t="s">
        <v>33</v>
      </c>
      <c r="B30" s="10">
        <v>4068100000</v>
      </c>
    </row>
    <row r="31" spans="1:2" x14ac:dyDescent="0.25">
      <c r="A31" t="s">
        <v>34</v>
      </c>
      <c r="B31" s="12">
        <v>269400000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0.1588389237314154</v>
      </c>
      <c r="C5" s="5">
        <v>0.028702659451649515</v>
      </c>
      <c r="D5" s="5">
        <v>0.028239827020193325</v>
      </c>
      <c r="E5" s="5">
        <v>0.027776994588737135</v>
      </c>
      <c r="F5" s="5">
        <v>0.027314162157280948</v>
      </c>
      <c r="G5" s="5">
        <v>0.026851329725824758</v>
      </c>
      <c r="H5" s="5">
        <v>0.026388497294368568</v>
      </c>
      <c r="I5" s="5">
        <v>0.02592566486291238</v>
      </c>
      <c r="J5" s="5">
        <v>0.02546283243145619</v>
      </c>
      <c r="K5" s="5">
        <v>0.025</v>
      </c>
    </row>
    <row r="6" spans="1:11" x14ac:dyDescent="0.25">
      <c r="A6" t="s">
        <v>50</v>
      </c>
      <c r="B6" s="18">
        <f>Assumptions!B29*(1+B5)</f>
        <v>7926805890.000001</v>
      </c>
      <c r="C6" s="18">
        <f>B6*(1+C5)</f>
        <v>8154326300.000001</v>
      </c>
      <c r="D6" s="18">
        <f>C6*(1+D5)</f>
        <v>8384603064.178214</v>
      </c>
      <c r="E6" s="18">
        <f>D6*(1+E5)</f>
        <v>8617502138.120602</v>
      </c>
      <c r="F6" s="18">
        <f>E6*(1+F5)</f>
        <v>8852881988.911943</v>
      </c>
      <c r="G6" s="18">
        <f>F6*(1+G5)</f>
        <v>9090593642.220034</v>
      </c>
      <c r="H6" s="18">
        <f>G6*(1+H5)</f>
        <v>9330480747.951962</v>
      </c>
      <c r="I6" s="18">
        <f>H6*(1+I5)</f>
        <v>9572379664.833221</v>
      </c>
      <c r="J6" s="18">
        <f>I6*(1+J5)</f>
        <v>9816119564.209148</v>
      </c>
      <c r="K6" s="18">
        <f>J6*(1+K5)</f>
        <v>10061522553.314377</v>
      </c>
    </row>
    <row r="7" spans="1:11" x14ac:dyDescent="0.25">
      <c r="A7" t="s">
        <v>4</v>
      </c>
      <c r="B7" s="9">
        <f>Assumptions!B7</f>
        <v>0.1542325982242213</v>
      </c>
      <c r="C7" s="9">
        <f>Assumptions!B7</f>
        <v>0.1542325982242213</v>
      </c>
      <c r="D7" s="9">
        <f>Assumptions!B7</f>
        <v>0.1542325982242213</v>
      </c>
      <c r="E7" s="9">
        <f>Assumptions!B7</f>
        <v>0.1542325982242213</v>
      </c>
      <c r="F7" s="9">
        <f>Assumptions!B7</f>
        <v>0.1542325982242213</v>
      </c>
      <c r="G7" s="9">
        <f>Assumptions!B7</f>
        <v>0.1542325982242213</v>
      </c>
      <c r="H7" s="9">
        <f>Assumptions!B7</f>
        <v>0.1542325982242213</v>
      </c>
      <c r="I7" s="9">
        <f>Assumptions!B7</f>
        <v>0.1542325982242213</v>
      </c>
      <c r="J7" s="9">
        <f>Assumptions!B7</f>
        <v>0.1542325982242213</v>
      </c>
      <c r="K7" s="9">
        <f>Assumptions!B7</f>
        <v>0.1542325982242213</v>
      </c>
    </row>
    <row r="8" spans="1:11" x14ac:dyDescent="0.25">
      <c r="A8" t="s">
        <v>51</v>
      </c>
      <c r="B8" s="18">
        <f>B6*B7</f>
        <v>1222571868.033761</v>
      </c>
      <c r="C8" s="18">
        <f>C6*C7</f>
        <v>1257662932.0171013</v>
      </c>
      <c r="D8" s="18">
        <f>D6*D7</f>
        <v>1293179115.6669734</v>
      </c>
      <c r="E8" s="18">
        <f>E6*E7</f>
        <v>1329099744.965123</v>
      </c>
      <c r="F8" s="18">
        <f>F6*F7</f>
        <v>1365402990.922301</v>
      </c>
      <c r="G8" s="18">
        <f>G6*G7</f>
        <v>1402065876.840183</v>
      </c>
      <c r="H8" s="18">
        <f>H6*H7</f>
        <v>1439064288.4377067</v>
      </c>
      <c r="I8" s="18">
        <f>I6*I7</f>
        <v>1476372986.8959284</v>
      </c>
      <c r="J8" s="18">
        <f>J6*J7</f>
        <v>1513965624.867588</v>
      </c>
      <c r="K8" s="18">
        <f>K6*K7</f>
        <v>1551814765.4892776</v>
      </c>
    </row>
    <row r="9" spans="1:11" x14ac:dyDescent="0.25">
      <c r="A9" t="s">
        <v>52</v>
      </c>
      <c r="B9" s="18">
        <f>B8*(1-Assumptions!B8)</f>
        <v>965831775.7466712</v>
      </c>
      <c r="C9" s="18">
        <f>C8*(1-Assumptions!B8)</f>
        <v>993553716.2935101</v>
      </c>
      <c r="D9" s="18">
        <f>D8*(1-Assumptions!B8)</f>
        <v>1021611501.376909</v>
      </c>
      <c r="E9" s="18">
        <f>E8*(1-Assumptions!B8)</f>
        <v>1049988798.5224471</v>
      </c>
      <c r="F9" s="18">
        <f>F8*(1-Assumptions!B8)</f>
        <v>1078668362.8286178</v>
      </c>
      <c r="G9" s="18">
        <f>G8*(1-Assumptions!B8)</f>
        <v>1107632042.7037446</v>
      </c>
      <c r="H9" s="18">
        <f>H8*(1-Assumptions!B8)</f>
        <v>1136860787.8657885</v>
      </c>
      <c r="I9" s="18">
        <f>I8*(1-Assumptions!B8)</f>
        <v>1166334659.6477835</v>
      </c>
      <c r="J9" s="18">
        <f>J8*(1-Assumptions!B8)</f>
        <v>1196032843.6453946</v>
      </c>
      <c r="K9" s="18">
        <f>K8*(1-Assumptions!B8)</f>
        <v>1225933664.7365294</v>
      </c>
    </row>
    <row r="10" spans="1:11" x14ac:dyDescent="0.25">
      <c r="A10" t="s">
        <v>53</v>
      </c>
      <c r="B10" s="18">
        <f>B6*Assumptions!B9</f>
        <v>250431070.3864081</v>
      </c>
      <c r="C10" s="18">
        <f>C6*Assumptions!B9</f>
        <v>257619108.11582124</v>
      </c>
      <c r="D10" s="18">
        <f>D6*Assumptions!B9</f>
        <v>264894227.16610852</v>
      </c>
      <c r="E10" s="18">
        <f>E6*Assumptions!B9</f>
        <v>272252192.6806893</v>
      </c>
      <c r="F10" s="18">
        <f>F6*Assumptions!B9</f>
        <v>279688533.2192449</v>
      </c>
      <c r="G10" s="18">
        <f>G6*Assumptions!B9</f>
        <v>287198542.2452471</v>
      </c>
      <c r="H10" s="18">
        <f>H6*Assumptions!B9</f>
        <v>294777280.20023245</v>
      </c>
      <c r="I10" s="18">
        <f>I6*Assumptions!B9</f>
        <v>302419577.1759046</v>
      </c>
      <c r="J10" s="18">
        <f>J6*Assumptions!B9</f>
        <v>310120036.19352645</v>
      </c>
      <c r="K10" s="18">
        <f>K6*Assumptions!B9</f>
        <v>317873037.0983646</v>
      </c>
    </row>
    <row r="11" spans="1:11" x14ac:dyDescent="0.25">
      <c r="A11" t="s">
        <v>54</v>
      </c>
      <c r="B11" s="18">
        <f>-B6*B19</f>
        <v>-305536432.27324486</v>
      </c>
      <c r="C11" s="18">
        <f>-C6*C19</f>
        <v>-339884839.86825454</v>
      </c>
      <c r="D11" s="18">
        <f>-D6*D19</f>
        <v>-375784166.4296066</v>
      </c>
      <c r="E11" s="18">
        <f>-E6*E19</f>
        <v>-413253922.43940943</v>
      </c>
      <c r="F11" s="18">
        <f>-F6*F19</f>
        <v>-452311553.8813843</v>
      </c>
      <c r="G11" s="18">
        <f>-G6*G19</f>
        <v>-492972327.34357536</v>
      </c>
      <c r="H11" s="18">
        <f>-H6*H19</f>
        <v>-535249217.07263017</v>
      </c>
      <c r="I11" s="18">
        <f>-I6*I19</f>
        <v>-579152794.4086711</v>
      </c>
      <c r="J11" s="18">
        <f>-J6*J19</f>
        <v>-624691120.035323</v>
      </c>
      <c r="K11" s="18">
        <f>-K6*K19</f>
        <v>-671869639.4833804</v>
      </c>
    </row>
    <row r="12" spans="1:11" x14ac:dyDescent="0.25">
      <c r="A12" t="s">
        <v>55</v>
      </c>
      <c r="B12" s="18">
        <f>-(B6-Assumptions!B29)*Assumptions!B11</f>
        <v>-99440954.30315246</v>
      </c>
      <c r="C12" s="18">
        <f>-(C6-B6)*Assumptions!B11</f>
        <v>-20823491.986632943</v>
      </c>
      <c r="D12" s="18">
        <f>-(D6-C6)*Assumptions!B11</f>
        <v>-21075763.50435016</v>
      </c>
      <c r="E12" s="18">
        <f>-(E6-D6)*Assumptions!B11</f>
        <v>-21315766.791794814</v>
      </c>
      <c r="F12" s="18">
        <f>-(F6-E6)*Assumptions!B11</f>
        <v>-21542816.474215932</v>
      </c>
      <c r="G12" s="18">
        <f>-(G6-F6)*Assumptions!B11</f>
        <v>-21756231.48617869</v>
      </c>
      <c r="H12" s="18">
        <f>-(H6-G6)*Assumptions!B11</f>
        <v>-21955336.771348864</v>
      </c>
      <c r="I12" s="18">
        <f>-(I6-H6)*Assumptions!B11</f>
        <v>-22139465.014378726</v>
      </c>
      <c r="J12" s="18">
        <f>-(J6-I6)*Assumptions!B11</f>
        <v>-22307958.4002039</v>
      </c>
      <c r="K12" s="18">
        <f>-(K6-J6)*Assumptions!B11</f>
        <v>-22460170.395827327</v>
      </c>
    </row>
    <row r="13" spans="1:11" x14ac:dyDescent="0.25">
      <c r="A13" s="19" t="s">
        <v>56</v>
      </c>
      <c r="B13" s="20">
        <f>B9+B10+B11+B12</f>
        <v>811285459.556682</v>
      </c>
      <c r="C13" s="20">
        <f>C9+C10+C11+C12</f>
        <v>890464492.5544438</v>
      </c>
      <c r="D13" s="20">
        <f>D9+D10+D11+D12</f>
        <v>889645798.6090608</v>
      </c>
      <c r="E13" s="20">
        <f>E9+E10+E11+E12</f>
        <v>887671301.9719322</v>
      </c>
      <c r="F13" s="20">
        <f>F9+F10+F11+F12</f>
        <v>884502525.6922624</v>
      </c>
      <c r="G13" s="20">
        <f>G9+G10+G11+G12</f>
        <v>880102026.1192378</v>
      </c>
      <c r="H13" s="20">
        <f>H9+H10+H11+H12</f>
        <v>874433514.222042</v>
      </c>
      <c r="I13" s="20">
        <f>I9+I10+I11+I12</f>
        <v>867461977.4006381</v>
      </c>
      <c r="J13" s="20">
        <f>J9+J10+J11+J12</f>
        <v>859153801.4033941</v>
      </c>
      <c r="K13" s="20">
        <f>K9+K10+K11+K12</f>
        <v>849476891.9556862</v>
      </c>
    </row>
    <row r="14" spans="1:11" x14ac:dyDescent="0.25">
      <c r="A14" t="s">
        <v>57</v>
      </c>
      <c r="B14" s="21">
        <f>1/(1+Assumptions!$B$26)^(1-0.5*Assumptions!$B$32)</f>
        <v>0.9655150607188775</v>
      </c>
      <c r="C14" s="21">
        <f>1/(1+Assumptions!$B$26)^(2-0.5*Assumptions!$B$32)</f>
        <v>0.9000718053978896</v>
      </c>
      <c r="D14" s="21">
        <f>1/(1+Assumptions!$B$26)^(3-0.5*Assumptions!$B$32)</f>
        <v>0.8390643376075685</v>
      </c>
      <c r="E14" s="21">
        <f>1/(1+Assumptions!$B$26)^(4-0.5*Assumptions!$B$32)</f>
        <v>0.7821919967080868</v>
      </c>
      <c r="F14" s="21">
        <f>1/(1+Assumptions!$B$26)^(5-0.5*Assumptions!$B$32)</f>
        <v>0.7291745010384826</v>
      </c>
      <c r="G14" s="21">
        <f>1/(1+Assumptions!$B$26)^(6-0.5*Assumptions!$B$32)</f>
        <v>0.6797505666158692</v>
      </c>
      <c r="H14" s="21">
        <f>1/(1+Assumptions!$B$26)^(7-0.5*Assumptions!$B$32)</f>
        <v>0.6336766194601334</v>
      </c>
      <c r="I14" s="21">
        <f>1/(1+Assumptions!$B$26)^(8-0.5*Assumptions!$B$32)</f>
        <v>0.5907255951981261</v>
      </c>
      <c r="J14" s="21">
        <f>1/(1+Assumptions!$B$26)^(9-0.5*Assumptions!$B$32)</f>
        <v>0.5506858200314809</v>
      </c>
      <c r="K14" s="21">
        <f>1/(1+Assumptions!$B$26)^(10-0.5*Assumptions!$B$32)</f>
        <v>0.5133599675531828</v>
      </c>
    </row>
    <row r="15" spans="1:11" x14ac:dyDescent="0.25">
      <c r="A15" s="19" t="s">
        <v>58</v>
      </c>
      <c r="B15" s="20">
        <f>B13*B14</f>
        <v>783308329.7442123</v>
      </c>
      <c r="C15" s="20">
        <f>C13*C14</f>
        <v>801481983.4561938</v>
      </c>
      <c r="D15" s="20">
        <f>D13*D14</f>
        <v>746470062.7152679</v>
      </c>
      <c r="E15" s="20">
        <f>E13*E14</f>
        <v>694329388.1098927</v>
      </c>
      <c r="F15" s="20">
        <f>F13*F14</f>
        <v>644956687.8389331</v>
      </c>
      <c r="G15" s="20">
        <f>G13*G14</f>
        <v>598249850.9343264</v>
      </c>
      <c r="H15" s="20">
        <f>H13*H14</f>
        <v>554108073.234868</v>
      </c>
      <c r="I15" s="20">
        <f>I13*I14</f>
        <v>512431992.9117353</v>
      </c>
      <c r="J15" s="20">
        <f>J13*J14</f>
        <v>473123815.6589922</v>
      </c>
      <c r="K15" s="20">
        <f>K13*K14</f>
        <v>436087429.69154966</v>
      </c>
    </row>
    <row r="17" spans="1:2" x14ac:dyDescent="0.25">
      <c r="A17" s="22" t="s">
        <v>59</v>
      </c>
      <c r="B17" s="23">
        <f>SUM(B15:K15)</f>
        <v>6244547614.295971</v>
      </c>
    </row>
    <row r="19" spans="1:11" x14ac:dyDescent="0.25">
      <c r="A19" t="s">
        <v>7</v>
      </c>
      <c r="B19" s="9">
        <f>Assumptions!$B$10+($B$20-Assumptions!$B$10)*0/9</f>
        <v>0.038544709749823935</v>
      </c>
      <c r="C19" s="9">
        <f>Assumptions!$B$10+($B$20-Assumptions!$B$10)*1/9</f>
        <v>0.041681535342564656</v>
      </c>
      <c r="D19" s="9">
        <f>Assumptions!$B$10+($B$20-Assumptions!$B$10)*2/9</f>
        <v>0.044818360935305376</v>
      </c>
      <c r="E19" s="9">
        <f>Assumptions!$B$10+($B$20-Assumptions!$B$10)*3/9</f>
        <v>0.04795518652804609</v>
      </c>
      <c r="F19" s="9">
        <f>Assumptions!$B$10+($B$20-Assumptions!$B$10)*4/9</f>
        <v>0.05109201212078682</v>
      </c>
      <c r="G19" s="9">
        <f>Assumptions!$B$10+($B$20-Assumptions!$B$10)*5/9</f>
        <v>0.05422883771352753</v>
      </c>
      <c r="H19" s="9">
        <f>Assumptions!$B$10+($B$20-Assumptions!$B$10)*6/9</f>
        <v>0.05736566330626825</v>
      </c>
      <c r="I19" s="9">
        <f>Assumptions!$B$10+($B$20-Assumptions!$B$10)*7/9</f>
        <v>0.06050248889900897</v>
      </c>
      <c r="J19" s="9">
        <f>Assumptions!$B$10+($B$20-Assumptions!$B$10)*8/9</f>
        <v>0.0636393144917497</v>
      </c>
      <c r="K19" s="9">
        <f>Assumptions!$B$10+($B$20-Assumptions!$B$10)*9/9</f>
        <v>0.06677614008449041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0.06677614008449041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849476891.9556862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1225933664.7365294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0.288756735023746</v>
      </c>
    </row>
    <row r="7" spans="1:2" x14ac:dyDescent="0.25">
      <c r="A7" t="s">
        <v>66</v>
      </c>
      <c r="B7" s="18">
        <f>-MAX(B5,0)*B6</f>
        <v>-353996602.38501585</v>
      </c>
    </row>
    <row r="8" spans="1:2" x14ac:dyDescent="0.25">
      <c r="A8" t="s">
        <v>67</v>
      </c>
      <c r="B8" s="18">
        <f>IF(OR(Assumptions!$B$33=0,Assumptions!B12&lt;=0),B5,MAX(B5+B7,0))</f>
        <v>871937062.3515135</v>
      </c>
    </row>
    <row r="9" spans="1:2" x14ac:dyDescent="0.25">
      <c r="A9" t="s">
        <v>68</v>
      </c>
      <c r="B9" s="18">
        <f>B8*(1+Assumptions!B12)/(Assumptions!B26-Assumptions!B12)</f>
        <v>18733087127.60445</v>
      </c>
    </row>
    <row r="10" spans="1:2" x14ac:dyDescent="0.25">
      <c r="A10" t="s">
        <v>69</v>
      </c>
      <c r="B10" s="18">
        <f>B9/(1+Assumptions!B26)^(10-0.5*Assumptions!B32)</f>
        <v>9616816999.997967</v>
      </c>
    </row>
    <row r="11" spans="1:2" x14ac:dyDescent="0.25">
      <c r="A11" t="s">
        <v>70</v>
      </c>
      <c r="B11" s="18">
        <f>Forecast!B17+B10</f>
        <v>15861364614.293938</v>
      </c>
    </row>
    <row r="12" spans="1:2" x14ac:dyDescent="0.25">
      <c r="A12" t="s">
        <v>71</v>
      </c>
      <c r="B12" s="18">
        <f>-Assumptions!B30</f>
        <v>-4068100000</v>
      </c>
    </row>
    <row r="13" spans="1:2" x14ac:dyDescent="0.25">
      <c r="A13" t="s">
        <v>72</v>
      </c>
      <c r="B13" s="18">
        <f>B11+B12</f>
        <v>11793264614.293938</v>
      </c>
    </row>
    <row r="14" spans="1:2" x14ac:dyDescent="0.25">
      <c r="A14" s="19" t="s">
        <v>73</v>
      </c>
      <c r="B14" s="24">
        <f>B13/Assumptions!B31</f>
        <v>43.776037914973784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1869687802.5876422</v>
      </c>
    </row>
    <row r="18" spans="1:2" x14ac:dyDescent="0.25">
      <c r="A18" t="s">
        <v>68</v>
      </c>
      <c r="B18" s="18">
        <f>B17*Assumptions!B13</f>
        <v>24084777894.72533</v>
      </c>
    </row>
    <row r="19" spans="1:2" x14ac:dyDescent="0.25">
      <c r="A19" t="s">
        <v>69</v>
      </c>
      <c r="B19" s="18">
        <f>B18/(1+Assumptions!B26)^(10-0.5*Assumptions!B32)</f>
        <v>12364160798.56181</v>
      </c>
    </row>
    <row r="20" spans="1:2" x14ac:dyDescent="0.25">
      <c r="A20" t="s">
        <v>70</v>
      </c>
      <c r="B20" s="18">
        <f>Forecast!B17+B19</f>
        <v>18608708412.85778</v>
      </c>
    </row>
    <row r="21" spans="1:2" x14ac:dyDescent="0.25">
      <c r="A21" t="s">
        <v>71</v>
      </c>
      <c r="B21" s="18">
        <f>-Assumptions!B30</f>
        <v>-4068100000</v>
      </c>
    </row>
    <row r="22" spans="1:2" x14ac:dyDescent="0.25">
      <c r="A22" t="s">
        <v>72</v>
      </c>
      <c r="B22" s="18">
        <f>B20+B21</f>
        <v>14540608412.85778</v>
      </c>
    </row>
    <row r="23" spans="1:2" x14ac:dyDescent="0.25">
      <c r="A23" s="19" t="s">
        <v>73</v>
      </c>
      <c r="B23" s="25">
        <f>B22/Assumptions!B31</f>
        <v>53.974047560719306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48.23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43.776037914973784</v>
      </c>
    </row>
    <row r="29" spans="1:2" x14ac:dyDescent="0.25">
      <c r="A29" s="19" t="s">
        <v>81</v>
      </c>
      <c r="B29" s="11">
        <f>B28/B26-1</f>
        <v>-0.09234837414526664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0.052709</v>
      </c>
      <c r="B5" s="31">
        <v>74.02636639701511</v>
      </c>
      <c r="C5" s="31">
        <v>77.9854307595167</v>
      </c>
      <c r="D5" s="31">
        <v>83.62748205179376</v>
      </c>
      <c r="E5" s="31">
        <v>92.06418542628064</v>
      </c>
      <c r="F5" s="31">
        <v>105.66268647183882</v>
      </c>
    </row>
    <row r="6" spans="1:6" x14ac:dyDescent="0.25">
      <c r="A6" s="30">
        <v>0.062709</v>
      </c>
      <c r="B6" s="31">
        <v>55.6084179704206</v>
      </c>
      <c r="C6" s="31">
        <v>56.779041268556135</v>
      </c>
      <c r="D6" s="31">
        <v>58.4364977406432</v>
      </c>
      <c r="E6" s="31">
        <v>60.80404390963491</v>
      </c>
      <c r="F6" s="31">
        <v>64.26607998678284</v>
      </c>
    </row>
    <row r="7" spans="1:6" x14ac:dyDescent="0.25">
      <c r="A7" s="30">
        <v>0.072709</v>
      </c>
      <c r="B7" s="31">
        <v>43.57544361337704</v>
      </c>
      <c r="C7" s="31">
        <v>43.606543472142235</v>
      </c>
      <c r="D7" s="32">
        <v>43.775953385634146</v>
      </c>
      <c r="E7" s="31">
        <v>44.132249785539386</v>
      </c>
      <c r="F7" s="31">
        <v>44.74977294331034</v>
      </c>
    </row>
    <row r="8" spans="1:6" x14ac:dyDescent="0.25">
      <c r="A8" s="30">
        <v>0.082709</v>
      </c>
      <c r="B8" s="31">
        <v>35.09811970984799</v>
      </c>
      <c r="C8" s="31">
        <v>34.62512953555912</v>
      </c>
      <c r="D8" s="31">
        <v>34.173258105728365</v>
      </c>
      <c r="E8" s="31">
        <v>33.74851542181418</v>
      </c>
      <c r="F8" s="31">
        <v>33.35943092666272</v>
      </c>
    </row>
    <row r="9" spans="1:6" x14ac:dyDescent="0.25">
      <c r="A9" s="30">
        <v>0.092709</v>
      </c>
      <c r="B9" s="31">
        <v>29.231066634770997</v>
      </c>
      <c r="C9" s="31">
        <v>28.70504076937873</v>
      </c>
      <c r="D9" s="31">
        <v>28.17901490398645</v>
      </c>
      <c r="E9" s="31">
        <v>27.652989038594168</v>
      </c>
      <c r="F9" s="31">
        <v>27.126963173201887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6840300000</v>
      </c>
      <c r="C5" s="18">
        <v>6723700000</v>
      </c>
      <c r="D5" s="18">
        <v>6662200000</v>
      </c>
      <c r="E5" s="18">
        <v>6350500000</v>
      </c>
      <c r="F5" s="6" t="s">
        <v>91</v>
      </c>
    </row>
    <row r="6" spans="1:6" x14ac:dyDescent="0.25">
      <c r="A6" t="s">
        <v>51</v>
      </c>
      <c r="B6" s="18">
        <v>1091900000</v>
      </c>
      <c r="C6" s="18">
        <v>1069800000</v>
      </c>
      <c r="D6" s="18">
        <v>1024200000</v>
      </c>
      <c r="E6" s="18">
        <v>917400000</v>
      </c>
      <c r="F6" s="6" t="s">
        <v>92</v>
      </c>
    </row>
    <row r="7" spans="1:6" x14ac:dyDescent="0.25">
      <c r="A7" t="s">
        <v>93</v>
      </c>
      <c r="B7" s="18">
        <v>231300000</v>
      </c>
      <c r="C7" s="18">
        <v>208800000</v>
      </c>
      <c r="D7" s="18">
        <v>199300000</v>
      </c>
      <c r="E7" s="18">
        <v>200600000</v>
      </c>
      <c r="F7" s="6" t="s">
        <v>94</v>
      </c>
    </row>
    <row r="8" spans="1:6" x14ac:dyDescent="0.25">
      <c r="A8" t="s">
        <v>95</v>
      </c>
      <c r="B8" s="18">
        <v>221800000</v>
      </c>
      <c r="C8" s="18">
        <v>274900000</v>
      </c>
      <c r="D8" s="18">
        <v>263900000</v>
      </c>
      <c r="E8" s="18">
        <v>262000000</v>
      </c>
      <c r="F8" s="6" t="s">
        <v>96</v>
      </c>
    </row>
    <row r="9" spans="1:6" x14ac:dyDescent="0.25">
      <c r="A9" t="s">
        <v>97</v>
      </c>
      <c r="B9" s="18">
        <v>83800000</v>
      </c>
      <c r="C9" s="18">
        <v>83000000</v>
      </c>
      <c r="D9" s="18">
        <v>-269300000</v>
      </c>
      <c r="E9" s="18">
        <v>255700000</v>
      </c>
      <c r="F9" s="6" t="s">
        <v>98</v>
      </c>
    </row>
    <row r="10" spans="1:6" x14ac:dyDescent="0.25">
      <c r="A10" t="s">
        <v>99</v>
      </c>
      <c r="B10" s="18">
        <v>4164000000</v>
      </c>
      <c r="C10" s="18">
        <v>4508500000</v>
      </c>
      <c r="D10" s="18">
        <v>4591300000</v>
      </c>
      <c r="E10" s="18">
        <v>5325700000</v>
      </c>
      <c r="F10" s="6" t="s">
        <v>100</v>
      </c>
    </row>
    <row r="11" spans="1:6" x14ac:dyDescent="0.25">
      <c r="A11" t="s">
        <v>101</v>
      </c>
      <c r="B11" s="18">
        <v>95900000</v>
      </c>
      <c r="C11" s="18">
        <v>186100000</v>
      </c>
      <c r="D11" s="18">
        <v>166600000</v>
      </c>
      <c r="E11" s="18">
        <v>334000000</v>
      </c>
      <c r="F11" s="6" t="s">
        <v>102</v>
      </c>
    </row>
    <row r="12" spans="1:6" x14ac:dyDescent="0.25">
      <c r="A12" t="s">
        <v>34</v>
      </c>
      <c r="B12" s="34">
        <v>269400000</v>
      </c>
      <c r="C12" s="34">
        <v>269600000</v>
      </c>
      <c r="D12" s="34">
        <v>269800000</v>
      </c>
      <c r="E12" s="34">
        <v>270200000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