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<sst xmlns="http://schemas.openxmlformats.org/spreadsheetml/2006/main" count="111" uniqueCount="99">
  <si>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McCormick &amp; Company, Incorporated (MKC)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</si>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</sst>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0.02507523864563521</v>
      </c>
    </row>
    <row r="7" spans="1:2" x14ac:dyDescent="0.25">
      <c r="A7" t="s">
        <v>5</v>
      </c>
      <c r="B7" s="6">
        <v>0.1542325982242213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0.03159293590150068</v>
      </c>
    </row>
    <row r="10" spans="1:2" x14ac:dyDescent="0.25">
      <c r="A10" t="s">
        <v>8</v>
      </c>
      <c r="B10" s="6">
        <v>0.038544709749823935</v>
      </c>
    </row>
    <row r="11" spans="1:2" x14ac:dyDescent="0.25">
      <c r="A11" t="s">
        <v>9</v>
      </c>
      <c r="B11" s="6">
        <v>0.7186963979416809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12.973509576783554</v>
      </c>
    </row>
    <row r="14" spans="1:3" x14ac:dyDescent="0.25">
      <c r="A14" t="s">
        <v>12</v>
      </c>
      <c r="B14" s="6">
        <v>0.08657806716765973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0.75478</v>
      </c>
      <c r="C19" s="8" t="s">
        <v>19</v>
      </c>
    </row>
    <row r="20" spans="1:2" x14ac:dyDescent="0.25">
      <c r="A20" t="s">
        <v>20</v>
      </c>
      <c r="B20" s="10">
        <f>B17+B19*B18</f>
        <v>0.0914929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13098447872</v>
      </c>
    </row>
    <row r="23" spans="1:2" x14ac:dyDescent="0.25">
      <c r="A23" t="s">
        <v>24</v>
      </c>
      <c r="B23" s="11">
        <v>4164000000</v>
      </c>
    </row>
    <row r="24" spans="1:2" x14ac:dyDescent="0.25">
      <c r="A24" t="s">
        <v>25</v>
      </c>
      <c r="B24" s="10">
        <f>B22/(B22+B23)</f>
        <v>0.7587827618147898</v>
      </c>
    </row>
    <row r="25" spans="1:2" x14ac:dyDescent="0.25">
      <c r="A25" t="s">
        <v>26</v>
      </c>
      <c r="B25" s="10">
        <f>1-B24</f>
        <v>0.24121723818521024</v>
      </c>
    </row>
    <row r="26" spans="1:2" x14ac:dyDescent="0.25">
      <c r="A26" t="s">
        <v>27</v>
      </c>
      <c r="B26" s="12">
        <f>B24*B20+B25*B21*(1-B8)</f>
        <v>0.07894750502439686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6840300000</v>
      </c>
      <c r="C29" s="8" t="s">
        <v>30</v>
      </c>
    </row>
    <row r="30" spans="1:2" x14ac:dyDescent="0.25">
      <c r="A30" t="s">
        <v>31</v>
      </c>
      <c r="B30" s="11">
        <v>4068100000</v>
      </c>
    </row>
    <row r="31" spans="1:2" x14ac:dyDescent="0.25">
      <c r="A31" t="s">
        <v>32</v>
      </c>
      <c r="B31" s="13">
        <v>269400000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0.02507523864563521</v>
      </c>
      <c r="C5" s="10">
        <f>Assumptions!B6</f>
        <v>0.02507523864563521</v>
      </c>
      <c r="D5" s="10">
        <f>Assumptions!B6</f>
        <v>0.02507523864563521</v>
      </c>
      <c r="E5" s="10">
        <f>Assumptions!B6</f>
        <v>0.02507523864563521</v>
      </c>
      <c r="F5" s="10">
        <f>Assumptions!B6</f>
        <v>0.02507523864563521</v>
      </c>
    </row>
    <row r="6" spans="1:6" x14ac:dyDescent="0.25">
      <c r="A6" t="s">
        <v>43</v>
      </c>
      <c r="B6" s="18">
        <f>Assumptions!B29*(1+B5)</f>
        <v>7011822154.907739</v>
      </c>
      <c r="C6" s="18">
        <f>B6*(1+C5)</f>
        <v>7187645268.782803</v>
      </c>
      <c r="D6" s="18">
        <f>C6*(1+D5)</f>
        <v>7367877189.197702</v>
      </c>
      <c r="E6" s="18">
        <f>D6*(1+E5)</f>
        <v>7552628468.028566</v>
      </c>
      <c r="F6" s="18">
        <f>E6*(1+F5)</f>
        <v>7742012429.266201</v>
      </c>
    </row>
    <row r="7" spans="1:6" x14ac:dyDescent="0.25">
      <c r="A7" t="s">
        <v>5</v>
      </c>
      <c r="B7" s="10">
        <f>Assumptions!B7</f>
        <v>0.1542325982242213</v>
      </c>
      <c r="C7" s="10">
        <f>Assumptions!B7</f>
        <v>0.1542325982242213</v>
      </c>
      <c r="D7" s="10">
        <f>Assumptions!B7</f>
        <v>0.1542325982242213</v>
      </c>
      <c r="E7" s="10">
        <f>Assumptions!B7</f>
        <v>0.1542325982242213</v>
      </c>
      <c r="F7" s="10">
        <f>Assumptions!B7</f>
        <v>0.1542325982242213</v>
      </c>
    </row>
    <row r="8" spans="1:6" x14ac:dyDescent="0.25">
      <c r="A8" t="s">
        <v>44</v>
      </c>
      <c r="B8" s="18">
        <f>B6*B7</f>
        <v>1081451549.2375789</v>
      </c>
      <c r="C8" s="18">
        <f>C6*C7</f>
        <v>1108569204.9184031</v>
      </c>
      <c r="D8" s="18">
        <f>D6*D7</f>
        <v>1136366842.2869341</v>
      </c>
      <c r="E8" s="18">
        <f>E6*E7</f>
        <v>1164861512.0462658</v>
      </c>
      <c r="F8" s="18">
        <f>F6*F7</f>
        <v>1194070692.4499416</v>
      </c>
    </row>
    <row r="9" spans="1:6" x14ac:dyDescent="0.25">
      <c r="A9" t="s">
        <v>45</v>
      </c>
      <c r="B9" s="18">
        <f>B8*(1-Assumptions!B8)</f>
        <v>854346723.8976873</v>
      </c>
      <c r="C9" s="18">
        <f>C8*(1-Assumptions!B8)</f>
        <v>875769671.8855386</v>
      </c>
      <c r="D9" s="18">
        <f>D8*(1-Assumptions!B8)</f>
        <v>897729805.406678</v>
      </c>
      <c r="E9" s="18">
        <f>E8*(1-Assumptions!B8)</f>
        <v>920240594.5165501</v>
      </c>
      <c r="F9" s="18">
        <f>F8*(1-Assumptions!B8)</f>
        <v>943315847.0354539</v>
      </c>
    </row>
    <row r="10" spans="1:6" x14ac:dyDescent="0.25">
      <c r="A10" t="s">
        <v>46</v>
      </c>
      <c r="B10" s="18">
        <f>B6*Assumptions!B9</f>
        <v>221524047.89272258</v>
      </c>
      <c r="C10" s="18">
        <f>C6*Assumptions!B9</f>
        <v>227078816.2593797</v>
      </c>
      <c r="D10" s="18">
        <f>D6*Assumptions!B9</f>
        <v>232772871.76845202</v>
      </c>
      <c r="E10" s="18">
        <f>E6*Assumptions!B9</f>
        <v>238609707.0782758</v>
      </c>
      <c r="F10" s="18">
        <f>F6*Assumptions!B9</f>
        <v>244592902.42642868</v>
      </c>
    </row>
    <row r="11" spans="1:6" x14ac:dyDescent="0.25">
      <c r="A11" t="s">
        <v>47</v>
      </c>
      <c r="B11" s="18">
        <f>-B6*Assumptions!B10</f>
        <v>-270268649.7783038</v>
      </c>
      <c r="C11" s="18">
        <f>-C6*Assumptions!B10</f>
        <v>-277045700.6699284</v>
      </c>
      <c r="D11" s="18">
        <f>-D6*Assumptions!B10</f>
        <v>-283992687.72997403</v>
      </c>
      <c r="E11" s="18">
        <f>-E6*Assumptions!B10</f>
        <v>-291113872.1484185</v>
      </c>
      <c r="F11" s="18">
        <f>-F6*Assumptions!B10</f>
        <v>-298413621.965595</v>
      </c>
    </row>
    <row r="12" spans="1:6" x14ac:dyDescent="0.25">
      <c r="A12" t="s">
        <v>48</v>
      </c>
      <c r="B12" s="18">
        <f>-(B6-Assumptions!B29)*Assumptions!B11</f>
        <v>-123272354.89938681</v>
      </c>
      <c r="C12" s="18">
        <f>-(C6-B6)*Assumptions!B11</f>
        <v>-126363438.6168984</v>
      </c>
      <c r="D12" s="18">
        <f>-(D6-C6)*Assumptions!B11</f>
        <v>-129532031.99630022</v>
      </c>
      <c r="E12" s="18">
        <f>-(E6-D6)*Assumptions!B11</f>
        <v>-132780078.61086105</v>
      </c>
      <c r="F12" s="18">
        <f>-(F6-E6)*Assumptions!B11</f>
        <v>-136109570.76941496</v>
      </c>
    </row>
    <row r="13" spans="1:6" x14ac:dyDescent="0.25">
      <c r="A13" s="19" t="s">
        <v>49</v>
      </c>
      <c r="B13" s="20">
        <f>B9+B10+B11+B12</f>
        <v>682329767.1127192</v>
      </c>
      <c r="C13" s="20">
        <f>C9+C10+C11+C12</f>
        <v>699439348.8580915</v>
      </c>
      <c r="D13" s="20">
        <f>D9+D10+D11+D12</f>
        <v>716977957.4488556</v>
      </c>
      <c r="E13" s="20">
        <f>E9+E10+E11+E12</f>
        <v>734956350.8355463</v>
      </c>
      <c r="F13" s="20">
        <f>F9+F10+F11+F12</f>
        <v>753385556.7268727</v>
      </c>
    </row>
    <row r="14" spans="1:6" x14ac:dyDescent="0.25">
      <c r="A14" t="s">
        <v>50</v>
      </c>
      <c r="B14" s="21">
        <f>1/(1+Assumptions!$B$26)^(1-0.5*Assumptions!$B$32)</f>
        <v>0.962719663738473</v>
      </c>
      <c r="C14" s="21">
        <f>1/(1+Assumptions!$B$26)^(2-0.5*Assumptions!$B$32)</f>
        <v>0.8922766485443648</v>
      </c>
      <c r="D14" s="21">
        <f>1/(1+Assumptions!$B$26)^(3-0.5*Assumptions!$B$32)</f>
        <v>0.8269880085817418</v>
      </c>
      <c r="E14" s="21">
        <f>1/(1+Assumptions!$B$26)^(4-0.5*Assumptions!$B$32)</f>
        <v>0.7664765938385874</v>
      </c>
      <c r="F14" s="21">
        <f>1/(1+Assumptions!$B$26)^(5-0.5*Assumptions!$B$32)</f>
        <v>0.7103928506894838</v>
      </c>
    </row>
    <row r="15" spans="1:6" x14ac:dyDescent="0.25">
      <c r="A15" s="19" t="s">
        <v>51</v>
      </c>
      <c r="B15" s="20">
        <f>B13*B14</f>
        <v>656892283.9535075</v>
      </c>
      <c r="C15" s="20">
        <f>C13*C14</f>
        <v>624093398.0591507</v>
      </c>
      <c r="D15" s="20">
        <f>D13*D14</f>
        <v>592932173.227634</v>
      </c>
      <c r="E15" s="20">
        <f>E13*E14</f>
        <v>563326840.4084673</v>
      </c>
      <c r="F15" s="20">
        <f>F13*F14</f>
        <v>535199713.31148684</v>
      </c>
    </row>
    <row r="17" spans="1:2" x14ac:dyDescent="0.25">
      <c r="A17" s="22" t="s">
        <v>52</v>
      </c>
      <c r="B17" s="23">
        <f>SUM(B15:F15)</f>
        <v>2972444408.960246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753385556.7268727</v>
      </c>
    </row>
    <row r="5" spans="1:2" x14ac:dyDescent="0.25">
      <c r="A5" t="s">
        <v>56</v>
      </c>
      <c r="B5" s="18">
        <f>IF(Assumptions!$B$33=0,B4,B4-Forecast!F11-Forecast!F10-Forecast!F12)</f>
        <v>943315847.0354539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0.288756735023746</v>
      </c>
    </row>
    <row r="7" spans="1:2" x14ac:dyDescent="0.25">
      <c r="A7" t="s">
        <v>58</v>
      </c>
      <c r="B7" s="18">
        <f>-MAX(Forecast!F9,0)*B6</f>
        <v>-272388804.0861171</v>
      </c>
    </row>
    <row r="8" spans="1:2" x14ac:dyDescent="0.25">
      <c r="A8" t="s">
        <v>59</v>
      </c>
      <c r="B8" s="18">
        <f>IF(OR(Assumptions!$B$33=0,Assumptions!B12&lt;=0),B5,MAX(B5+B7,0))</f>
        <v>670927042.9493368</v>
      </c>
    </row>
    <row r="9" spans="1:2" x14ac:dyDescent="0.25">
      <c r="A9" t="s">
        <v>60</v>
      </c>
      <c r="B9" s="18">
        <f>B8*(1+Assumptions!B12)/(Assumptions!B26-Assumptions!B12)</f>
        <v>12747581537.127048</v>
      </c>
    </row>
    <row r="10" spans="1:2" x14ac:dyDescent="0.25">
      <c r="A10" t="s">
        <v>61</v>
      </c>
      <c r="B10" s="18">
        <f>B9/(1+Assumptions!B26)^(5-0.5*Assumptions!B32)</f>
        <v>9055790787.556314</v>
      </c>
    </row>
    <row r="11" spans="1:2" x14ac:dyDescent="0.25">
      <c r="A11" t="s">
        <v>62</v>
      </c>
      <c r="B11" s="18">
        <f>Forecast!B17+B10</f>
        <v>12028235196.51656</v>
      </c>
    </row>
    <row r="12" spans="1:2" x14ac:dyDescent="0.25">
      <c r="A12" t="s">
        <v>63</v>
      </c>
      <c r="B12" s="18">
        <f>-Assumptions!B30</f>
        <v>-4068100000</v>
      </c>
    </row>
    <row r="13" spans="1:2" x14ac:dyDescent="0.25">
      <c r="A13" t="s">
        <v>64</v>
      </c>
      <c r="B13" s="18">
        <f>B11+B12</f>
        <v>7960135196.51656</v>
      </c>
    </row>
    <row r="14" spans="1:2" x14ac:dyDescent="0.25">
      <c r="A14" s="19" t="s">
        <v>65</v>
      </c>
      <c r="B14" s="24">
        <f>B13/Assumptions!B31</f>
        <v>29.54764363963088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1438663594.8763704</v>
      </c>
    </row>
    <row r="18" spans="1:2" x14ac:dyDescent="0.25">
      <c r="A18" t="s">
        <v>60</v>
      </c>
      <c r="B18" s="18">
        <f>B17*Assumptions!B13</f>
        <v>18664515925.89845</v>
      </c>
    </row>
    <row r="19" spans="1:2" x14ac:dyDescent="0.25">
      <c r="A19" t="s">
        <v>61</v>
      </c>
      <c r="B19" s="18">
        <f>B18/(1+Assumptions!B26)^(5-0.5*Assumptions!B32)</f>
        <v>13259138675.338268</v>
      </c>
    </row>
    <row r="20" spans="1:2" x14ac:dyDescent="0.25">
      <c r="A20" t="s">
        <v>62</v>
      </c>
      <c r="B20" s="18">
        <f>Forecast!B17+B19</f>
        <v>16231583084.298515</v>
      </c>
    </row>
    <row r="21" spans="1:2" x14ac:dyDescent="0.25">
      <c r="A21" t="s">
        <v>63</v>
      </c>
      <c r="B21" s="18">
        <f>-Assumptions!B30</f>
        <v>-4068100000</v>
      </c>
    </row>
    <row r="22" spans="1:2" x14ac:dyDescent="0.25">
      <c r="A22" t="s">
        <v>64</v>
      </c>
      <c r="B22" s="18">
        <f>B20+B21</f>
        <v>12163483084.298515</v>
      </c>
    </row>
    <row r="23" spans="1:2" x14ac:dyDescent="0.25">
      <c r="A23" s="19" t="s">
        <v>65</v>
      </c>
      <c r="B23" s="25">
        <f>B22/Assumptions!B31</f>
        <v>45.15027128544364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48.72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29.54764363963088</v>
      </c>
    </row>
    <row r="29" spans="1:2" x14ac:dyDescent="0.25">
      <c r="A29" s="19" t="s">
        <v>73</v>
      </c>
      <c r="B29" s="12">
        <f>B28/B26-1</f>
        <v>-0.393521271764555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0.058948</v>
      </c>
      <c r="B5" s="31">
        <v>48.11137599852595</v>
      </c>
      <c r="C5" s="31">
        <v>50.93892159247563</v>
      </c>
      <c r="D5" s="31">
        <v>54.553338851113566</v>
      </c>
      <c r="E5" s="31">
        <v>59.36236146831586</v>
      </c>
      <c r="F5" s="31">
        <v>66.11423900055757</v>
      </c>
    </row>
    <row r="6" spans="1:6" x14ac:dyDescent="0.25">
      <c r="A6" s="30">
        <v>0.068948</v>
      </c>
      <c r="B6" s="31">
        <v>36.530647097275995</v>
      </c>
      <c r="C6" s="31">
        <v>37.749546362805994</v>
      </c>
      <c r="D6" s="31">
        <v>39.21170981754818</v>
      </c>
      <c r="E6" s="31">
        <v>41.01082552862247</v>
      </c>
      <c r="F6" s="31">
        <v>43.29577660681532</v>
      </c>
    </row>
    <row r="7" spans="1:6" x14ac:dyDescent="0.25">
      <c r="A7" s="30">
        <v>0.078948</v>
      </c>
      <c r="B7" s="31">
        <v>28.57433658686236</v>
      </c>
      <c r="C7" s="31">
        <v>29.03171832511487</v>
      </c>
      <c r="D7" s="32">
        <v>29.54725369326506</v>
      </c>
      <c r="E7" s="31">
        <v>30.138763735042357</v>
      </c>
      <c r="F7" s="31">
        <v>30.83217955321377</v>
      </c>
    </row>
    <row r="8" spans="1:6" x14ac:dyDescent="0.25">
      <c r="A8" s="30">
        <v>0.088948</v>
      </c>
      <c r="B8" s="31">
        <v>22.923101556675974</v>
      </c>
      <c r="C8" s="31">
        <v>23.057242457552743</v>
      </c>
      <c r="D8" s="31">
        <v>23.191383358429505</v>
      </c>
      <c r="E8" s="31">
        <v>23.325524259306277</v>
      </c>
      <c r="F8" s="31">
        <v>23.459665160183047</v>
      </c>
    </row>
    <row r="9" spans="1:6" x14ac:dyDescent="0.25">
      <c r="A9" s="30">
        <v>0.098948</v>
      </c>
      <c r="B9" s="31">
        <v>18.953240502404025</v>
      </c>
      <c r="C9" s="31">
        <v>19.068965020117677</v>
      </c>
      <c r="D9" s="31">
        <v>19.184689537831314</v>
      </c>
      <c r="E9" s="31">
        <v>19.30041405554496</v>
      </c>
      <c r="F9" s="31">
        <v>19.416138573258603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6840300000</v>
      </c>
      <c r="C5" s="18">
        <v>6723700000</v>
      </c>
      <c r="D5" s="18">
        <v>6662200000</v>
      </c>
      <c r="E5" s="18">
        <v>6350500000</v>
      </c>
      <c r="F5" s="8" t="s">
        <v>84</v>
      </c>
    </row>
    <row r="6" spans="1:6" x14ac:dyDescent="0.25">
      <c r="A6" t="s">
        <v>44</v>
      </c>
      <c r="B6" s="18">
        <v>1091900000</v>
      </c>
      <c r="C6" s="18">
        <v>1069800000</v>
      </c>
      <c r="D6" s="18">
        <v>1024200000</v>
      </c>
      <c r="E6" s="18">
        <v>917400000</v>
      </c>
      <c r="F6" s="8" t="s">
        <v>85</v>
      </c>
    </row>
    <row r="7" spans="1:6" x14ac:dyDescent="0.25">
      <c r="A7" t="s">
        <v>86</v>
      </c>
      <c r="B7" s="18">
        <v>231300000</v>
      </c>
      <c r="C7" s="18">
        <v>208800000</v>
      </c>
      <c r="D7" s="18">
        <v>199300000</v>
      </c>
      <c r="E7" s="18">
        <v>200600000</v>
      </c>
      <c r="F7" s="8" t="s">
        <v>87</v>
      </c>
    </row>
    <row r="8" spans="1:6" x14ac:dyDescent="0.25">
      <c r="A8" t="s">
        <v>88</v>
      </c>
      <c r="B8" s="18">
        <v>221800000</v>
      </c>
      <c r="C8" s="18">
        <v>274900000</v>
      </c>
      <c r="D8" s="18">
        <v>263900000</v>
      </c>
      <c r="E8" s="18">
        <v>262000000</v>
      </c>
      <c r="F8" s="8" t="s">
        <v>89</v>
      </c>
    </row>
    <row r="9" spans="1:6" x14ac:dyDescent="0.25">
      <c r="A9" t="s">
        <v>90</v>
      </c>
      <c r="B9" s="18">
        <v>83800000</v>
      </c>
      <c r="C9" s="18">
        <v>83000000</v>
      </c>
      <c r="D9" s="18">
        <v>-269300000</v>
      </c>
      <c r="E9" s="18">
        <v>255700000</v>
      </c>
      <c r="F9" s="8" t="s">
        <v>91</v>
      </c>
    </row>
    <row r="10" spans="1:6" x14ac:dyDescent="0.25">
      <c r="A10" t="s">
        <v>92</v>
      </c>
      <c r="B10" s="18">
        <v>4164000000</v>
      </c>
      <c r="C10" s="18">
        <v>4508500000</v>
      </c>
      <c r="D10" s="18">
        <v>4591300000</v>
      </c>
      <c r="E10" s="18">
        <v>5325700000</v>
      </c>
      <c r="F10" s="8" t="s">
        <v>93</v>
      </c>
    </row>
    <row r="11" spans="1:6" x14ac:dyDescent="0.25">
      <c r="A11" t="s">
        <v>94</v>
      </c>
      <c r="B11" s="18">
        <v>95900000</v>
      </c>
      <c r="C11" s="18">
        <v>186100000</v>
      </c>
      <c r="D11" s="18">
        <v>166600000</v>
      </c>
      <c r="E11" s="18">
        <v>334000000</v>
      </c>
      <c r="F11" s="8" t="s">
        <v>95</v>
      </c>
    </row>
    <row r="12" spans="1:6" x14ac:dyDescent="0.25">
      <c r="A12" t="s">
        <v>32</v>
      </c>
      <c r="B12" s="34">
        <v>269400000</v>
      </c>
      <c r="C12" s="34">
        <v>269600000</v>
      </c>
      <c r="D12" s="34">
        <v>269800000</v>
      </c>
      <c r="E12" s="34">
        <v>270200000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