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<sst xmlns="http://schemas.openxmlformats.org/spreadsheetml/2006/main" count="112" uniqueCount="100">
  <si>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Marks and Spencer Group plc (MKS.L)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</si>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</sst>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0.13126677171502732</v>
      </c>
    </row>
    <row r="7" spans="1:2" x14ac:dyDescent="0.25">
      <c r="A7" t="s">
        <v>5</v>
      </c>
      <c r="B7" s="6">
        <v>0.05340987326882626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0.04028810036906123</v>
      </c>
    </row>
    <row r="10" spans="1:2" x14ac:dyDescent="0.25">
      <c r="A10" t="s">
        <v>8</v>
      </c>
      <c r="B10" s="6">
        <v>0.035075311065490944</v>
      </c>
    </row>
    <row r="11" spans="1:2" x14ac:dyDescent="0.25">
      <c r="A11" t="s">
        <v>9</v>
      </c>
      <c r="B11" s="6">
        <v>0.04452094422587364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5.935448994773307</v>
      </c>
    </row>
    <row r="14" spans="1:3" x14ac:dyDescent="0.25">
      <c r="A14" t="s">
        <v>12</v>
      </c>
      <c r="B14" s="6">
        <v>0.17092226183106948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0.98995</v>
      </c>
      <c r="C19" s="8" t="s">
        <v>19</v>
      </c>
    </row>
    <row r="20" spans="1:2" x14ac:dyDescent="0.25">
      <c r="A20" t="s">
        <v>20</v>
      </c>
      <c r="B20" s="10">
        <f>B17+B19*B18</f>
        <v>0.09944725</v>
      </c>
    </row>
    <row r="21" spans="1:3" x14ac:dyDescent="0.25">
      <c r="A21" t="s">
        <v>21</v>
      </c>
      <c r="B21" s="6">
        <v>0.061126039064095916</v>
      </c>
      <c r="C21" s="8" t="s">
        <v>22</v>
      </c>
    </row>
    <row r="22" spans="1:2" x14ac:dyDescent="0.25">
      <c r="A22" t="s">
        <v>23</v>
      </c>
      <c r="B22" s="11">
        <v>7350987776</v>
      </c>
    </row>
    <row r="23" spans="1:2" x14ac:dyDescent="0.25">
      <c r="A23" t="s">
        <v>24</v>
      </c>
      <c r="B23" s="11">
        <v>3419400000</v>
      </c>
    </row>
    <row r="24" spans="1:2" x14ac:dyDescent="0.25">
      <c r="A24" t="s">
        <v>25</v>
      </c>
      <c r="B24" s="10">
        <f>B22/(B22+B23)</f>
        <v>0.6825183947768753</v>
      </c>
    </row>
    <row r="25" spans="1:2" x14ac:dyDescent="0.25">
      <c r="A25" t="s">
        <v>26</v>
      </c>
      <c r="B25" s="10">
        <f>1-B24</f>
        <v>0.31748160522312474</v>
      </c>
    </row>
    <row r="26" spans="1:2" x14ac:dyDescent="0.25">
      <c r="A26" t="s">
        <v>27</v>
      </c>
      <c r="B26" s="12">
        <f>B24*B20+B25*B21*(1-B8)</f>
        <v>0.08242937218722506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17273600000</v>
      </c>
      <c r="C29" s="8" t="s">
        <v>30</v>
      </c>
    </row>
    <row r="30" spans="1:2" x14ac:dyDescent="0.25">
      <c r="A30" t="s">
        <v>31</v>
      </c>
      <c r="B30" s="11">
        <v>2415200000</v>
      </c>
    </row>
    <row r="31" spans="1:2" x14ac:dyDescent="0.25">
      <c r="A31" t="s">
        <v>32</v>
      </c>
      <c r="B31" s="13">
        <v>2115300000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0.13126677171502732</v>
      </c>
      <c r="C5" s="10">
        <f>Assumptions!B6</f>
        <v>0.13126677171502732</v>
      </c>
      <c r="D5" s="10">
        <f>Assumptions!B6</f>
        <v>0.13126677171502732</v>
      </c>
      <c r="E5" s="10">
        <f>Assumptions!B6</f>
        <v>0.13126677171502732</v>
      </c>
      <c r="F5" s="10">
        <f>Assumptions!B6</f>
        <v>0.13126677171502732</v>
      </c>
    </row>
    <row r="6" spans="1:6" x14ac:dyDescent="0.25">
      <c r="A6" t="s">
        <v>43</v>
      </c>
      <c r="B6" s="18">
        <f>Assumptions!B29*(1+B5)</f>
        <v>19541049707.896694</v>
      </c>
      <c r="C6" s="18">
        <f>B6*(1+C5)</f>
        <v>22106140218.97517</v>
      </c>
      <c r="D6" s="18">
        <f>C6*(1+D5)</f>
        <v>25007941880.59977</v>
      </c>
      <c r="E6" s="18">
        <f>D6*(1+E5)</f>
        <v>28290653678.50313</v>
      </c>
      <c r="F6" s="18">
        <f>E6*(1+F5)</f>
        <v>32004276456.5881</v>
      </c>
    </row>
    <row r="7" spans="1:6" x14ac:dyDescent="0.25">
      <c r="A7" t="s">
        <v>5</v>
      </c>
      <c r="B7" s="10">
        <f>Assumptions!B7</f>
        <v>0.05340987326882626</v>
      </c>
      <c r="C7" s="10">
        <f>Assumptions!B7</f>
        <v>0.05340987326882626</v>
      </c>
      <c r="D7" s="10">
        <f>Assumptions!B7</f>
        <v>0.05340987326882626</v>
      </c>
      <c r="E7" s="10">
        <f>Assumptions!B7</f>
        <v>0.05340987326882626</v>
      </c>
      <c r="F7" s="10">
        <f>Assumptions!B7</f>
        <v>0.05340987326882626</v>
      </c>
    </row>
    <row r="8" spans="1:6" x14ac:dyDescent="0.25">
      <c r="A8" t="s">
        <v>44</v>
      </c>
      <c r="B8" s="18">
        <f>B6*B7</f>
        <v>1043684988.438597</v>
      </c>
      <c r="C8" s="18">
        <f>C6*C7</f>
        <v>1180686147.558367</v>
      </c>
      <c r="D8" s="18">
        <f>D6*D7</f>
        <v>1335671006.5570064</v>
      </c>
      <c r="E8" s="18">
        <f>E6*E7</f>
        <v>1511000227.6611059</v>
      </c>
      <c r="F8" s="18">
        <f>F6*F7</f>
        <v>1709344349.6068506</v>
      </c>
    </row>
    <row r="9" spans="1:6" x14ac:dyDescent="0.25">
      <c r="A9" t="s">
        <v>45</v>
      </c>
      <c r="B9" s="18">
        <f>B8*(1-Assumptions!B8)</f>
        <v>782763741.3289478</v>
      </c>
      <c r="C9" s="18">
        <f>C8*(1-Assumptions!B8)</f>
        <v>885514610.6687753</v>
      </c>
      <c r="D9" s="18">
        <f>D8*(1-Assumptions!B8)</f>
        <v>1001753254.9177548</v>
      </c>
      <c r="E9" s="18">
        <f>E8*(1-Assumptions!B8)</f>
        <v>1133250170.7458293</v>
      </c>
      <c r="F9" s="18">
        <f>F8*(1-Assumptions!B8)</f>
        <v>1282008262.205138</v>
      </c>
    </row>
    <row r="10" spans="1:6" x14ac:dyDescent="0.25">
      <c r="A10" t="s">
        <v>46</v>
      </c>
      <c r="B10" s="18">
        <f>B6*Assumptions!B9</f>
        <v>787271771.9485567</v>
      </c>
      <c r="C10" s="18">
        <f>C6*Assumptions!B9</f>
        <v>890614395.9146129</v>
      </c>
      <c r="D10" s="18">
        <f>D6*Assumptions!B9</f>
        <v>1007522472.5092535</v>
      </c>
      <c r="E10" s="18">
        <f>E6*Assumptions!B9</f>
        <v>1139776694.9058855</v>
      </c>
      <c r="F10" s="18">
        <f>F6*Assumptions!B9</f>
        <v>1289391502.1222048</v>
      </c>
    </row>
    <row r="11" spans="1:6" x14ac:dyDescent="0.25">
      <c r="A11" t="s">
        <v>47</v>
      </c>
      <c r="B11" s="18">
        <f>-B6*Assumptions!B10</f>
        <v>-685408397.0506974</v>
      </c>
      <c r="C11" s="18">
        <f>-C6*Assumptions!B10</f>
        <v>-775379744.6379142</v>
      </c>
      <c r="D11" s="18">
        <f>-D6*Assumptions!B10</f>
        <v>-877161340.5697556</v>
      </c>
      <c r="E11" s="18">
        <f>-E6*Assumptions!B10</f>
        <v>-992303478.019573</v>
      </c>
      <c r="F11" s="18">
        <f>-F6*Assumptions!B10</f>
        <v>-1122559952.140796</v>
      </c>
    </row>
    <row r="12" spans="1:6" x14ac:dyDescent="0.25">
      <c r="A12" t="s">
        <v>48</v>
      </c>
      <c r="B12" s="18">
        <f>-(B6-Assumptions!B29)*Assumptions!B11</f>
        <v>-100949001.9802422</v>
      </c>
      <c r="C12" s="18">
        <f>-(C6-B6)*Assumptions!B11</f>
        <v>-114200251.57804254</v>
      </c>
      <c r="D12" s="18">
        <f>-(D6-C6)*Assumptions!B11</f>
        <v>-129190949.93173625</v>
      </c>
      <c r="E12" s="18">
        <f>-(E6-D6)*Assumptions!B11</f>
        <v>-146149428.86407298</v>
      </c>
      <c r="F12" s="18">
        <f>-(F6-E6)*Assumptions!B11</f>
        <v>-165333992.5790548</v>
      </c>
    </row>
    <row r="13" spans="1:6" x14ac:dyDescent="0.25">
      <c r="A13" s="19" t="s">
        <v>49</v>
      </c>
      <c r="B13" s="20">
        <f>B9+B10+B11+B12</f>
        <v>783678114.2465649</v>
      </c>
      <c r="C13" s="20">
        <f>C9+C10+C11+C12</f>
        <v>886549010.3674316</v>
      </c>
      <c r="D13" s="20">
        <f>D9+D10+D11+D12</f>
        <v>1002923436.9255164</v>
      </c>
      <c r="E13" s="20">
        <f>E9+E10+E11+E12</f>
        <v>1134573958.7680688</v>
      </c>
      <c r="F13" s="20">
        <f>F9+F10+F11+F12</f>
        <v>1283505819.6074922</v>
      </c>
    </row>
    <row r="14" spans="1:6" x14ac:dyDescent="0.25">
      <c r="A14" t="s">
        <v>50</v>
      </c>
      <c r="B14" s="21">
        <f>1/(1+Assumptions!$B$26)^(1-0.5*Assumptions!$B$32)</f>
        <v>0.9611700189893577</v>
      </c>
      <c r="C14" s="21">
        <f>1/(1+Assumptions!$B$26)^(2-0.5*Assumptions!$B$32)</f>
        <v>0.8879748126634415</v>
      </c>
      <c r="D14" s="21">
        <f>1/(1+Assumptions!$B$26)^(3-0.5*Assumptions!$B$32)</f>
        <v>0.8203535819331506</v>
      </c>
      <c r="E14" s="21">
        <f>1/(1+Assumptions!$B$26)^(4-0.5*Assumptions!$B$32)</f>
        <v>0.7578818563242535</v>
      </c>
      <c r="F14" s="21">
        <f>1/(1+Assumptions!$B$26)^(5-0.5*Assumptions!$B$32)</f>
        <v>0.700167489720673</v>
      </c>
    </row>
    <row r="15" spans="1:6" x14ac:dyDescent="0.25">
      <c r="A15" s="19" t="s">
        <v>51</v>
      </c>
      <c r="B15" s="20">
        <f>B13*B14</f>
        <v>753247907.9519148</v>
      </c>
      <c r="C15" s="20">
        <f>C13*C14</f>
        <v>787233191.3979795</v>
      </c>
      <c r="D15" s="20">
        <f>D13*D14</f>
        <v>822751833.8865535</v>
      </c>
      <c r="E15" s="20">
        <f>E13*E14</f>
        <v>859873018.008301</v>
      </c>
      <c r="F15" s="20">
        <f>F13*F14</f>
        <v>898669047.7564528</v>
      </c>
    </row>
    <row r="17" spans="1:2" x14ac:dyDescent="0.25">
      <c r="A17" s="22" t="s">
        <v>52</v>
      </c>
      <c r="B17" s="23">
        <f>SUM(B15:F15)</f>
        <v>4121774999.0012016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1283505819.6074922</v>
      </c>
    </row>
    <row r="5" spans="1:2" x14ac:dyDescent="0.25">
      <c r="A5" t="s">
        <v>56</v>
      </c>
      <c r="B5" s="18">
        <f>IF(Assumptions!$B$33=0,B4,B4-Forecast!F11-Forecast!F10-Forecast!F12)</f>
        <v>1282008262.205138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0.14626532396762149</v>
      </c>
    </row>
    <row r="7" spans="1:2" x14ac:dyDescent="0.25">
      <c r="A7" t="s">
        <v>58</v>
      </c>
      <c r="B7" s="18">
        <f>-MAX(Forecast!F9,0)*B6</f>
        <v>-187513353.80060193</v>
      </c>
    </row>
    <row r="8" spans="1:2" x14ac:dyDescent="0.25">
      <c r="A8" t="s">
        <v>59</v>
      </c>
      <c r="B8" s="18">
        <f>IF(OR(Assumptions!$B$33=0,Assumptions!B12&lt;=0),B5,MAX(B5+B7,0))</f>
        <v>1094494908.404536</v>
      </c>
    </row>
    <row r="9" spans="1:2" x14ac:dyDescent="0.25">
      <c r="A9" t="s">
        <v>60</v>
      </c>
      <c r="B9" s="18">
        <f>B8*(1+Assumptions!B12)/(Assumptions!B26-Assumptions!B12)</f>
        <v>19534555896.890026</v>
      </c>
    </row>
    <row r="10" spans="1:2" x14ac:dyDescent="0.25">
      <c r="A10" t="s">
        <v>61</v>
      </c>
      <c r="B10" s="18">
        <f>B9/(1+Assumptions!B26)^(5-0.5*Assumptions!B32)</f>
        <v>13677460965.13366</v>
      </c>
    </row>
    <row r="11" spans="1:2" x14ac:dyDescent="0.25">
      <c r="A11" t="s">
        <v>62</v>
      </c>
      <c r="B11" s="18">
        <f>Forecast!B17+B10</f>
        <v>17799235964.13486</v>
      </c>
    </row>
    <row r="12" spans="1:2" x14ac:dyDescent="0.25">
      <c r="A12" t="s">
        <v>63</v>
      </c>
      <c r="B12" s="18">
        <f>-Assumptions!B30</f>
        <v>-2415200000</v>
      </c>
    </row>
    <row r="13" spans="1:2" x14ac:dyDescent="0.25">
      <c r="A13" t="s">
        <v>64</v>
      </c>
      <c r="B13" s="18">
        <f>B11+B12</f>
        <v>15384035964.134861</v>
      </c>
    </row>
    <row r="14" spans="1:2" x14ac:dyDescent="0.25">
      <c r="A14" s="19" t="s">
        <v>65</v>
      </c>
      <c r="B14" s="24">
        <f>B13/Assumptions!B31</f>
        <v>7.2727442746347375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2998735851.7290554</v>
      </c>
    </row>
    <row r="18" spans="1:2" x14ac:dyDescent="0.25">
      <c r="A18" t="s">
        <v>60</v>
      </c>
      <c r="B18" s="18">
        <f>B17*Assumptions!B13</f>
        <v>17798843696.7359</v>
      </c>
    </row>
    <row r="19" spans="1:2" x14ac:dyDescent="0.25">
      <c r="A19" t="s">
        <v>61</v>
      </c>
      <c r="B19" s="18">
        <f>B18/(1+Assumptions!B26)^(5-0.5*Assumptions!B32)</f>
        <v>12462171711.0742</v>
      </c>
    </row>
    <row r="20" spans="1:2" x14ac:dyDescent="0.25">
      <c r="A20" t="s">
        <v>62</v>
      </c>
      <c r="B20" s="18">
        <f>Forecast!B17+B19</f>
        <v>16583946710.075401</v>
      </c>
    </row>
    <row r="21" spans="1:2" x14ac:dyDescent="0.25">
      <c r="A21" t="s">
        <v>63</v>
      </c>
      <c r="B21" s="18">
        <f>-Assumptions!B30</f>
        <v>-2415200000</v>
      </c>
    </row>
    <row r="22" spans="1:2" x14ac:dyDescent="0.25">
      <c r="A22" t="s">
        <v>64</v>
      </c>
      <c r="B22" s="18">
        <f>B20+B21</f>
        <v>14168746710.075401</v>
      </c>
    </row>
    <row r="23" spans="1:2" x14ac:dyDescent="0.25">
      <c r="A23" s="19" t="s">
        <v>65</v>
      </c>
      <c r="B23" s="25">
        <f>B22/Assumptions!B31</f>
        <v>6.698220919054225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355.3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727.2744274634738</v>
      </c>
    </row>
    <row r="29" spans="1:2" x14ac:dyDescent="0.25">
      <c r="A29" s="19" t="s">
        <v>73</v>
      </c>
      <c r="B29" s="12">
        <f>B28/B26-1</f>
        <v>1.0469305585799993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0.062429</v>
      </c>
      <c r="B5" s="31">
        <v>9.913351872157937</v>
      </c>
      <c r="C5" s="31">
        <v>10.700131628705925</v>
      </c>
      <c r="D5" s="31">
        <v>11.693510424528823</v>
      </c>
      <c r="E5" s="31">
        <v>12.989050428954199</v>
      </c>
      <c r="F5" s="31">
        <v>14.751993471032957</v>
      </c>
    </row>
    <row r="6" spans="1:6" x14ac:dyDescent="0.25">
      <c r="A6" s="30">
        <v>0.072429</v>
      </c>
      <c r="B6" s="31">
        <v>7.987857875074016</v>
      </c>
      <c r="C6" s="31">
        <v>8.454851111079435</v>
      </c>
      <c r="D6" s="31">
        <v>9.017576985606587</v>
      </c>
      <c r="E6" s="31">
        <v>9.709880028996189</v>
      </c>
      <c r="F6" s="31">
        <v>10.583689428053566</v>
      </c>
    </row>
    <row r="7" spans="1:6" x14ac:dyDescent="0.25">
      <c r="A7" s="30">
        <v>0.082429</v>
      </c>
      <c r="B7" s="31">
        <v>6.6338492377640845</v>
      </c>
      <c r="C7" s="31">
        <v>6.928730770198439</v>
      </c>
      <c r="D7" s="32">
        <v>7.272797918376418</v>
      </c>
      <c r="E7" s="31">
        <v>7.680122746158765</v>
      </c>
      <c r="F7" s="31">
        <v>8.170711266619023</v>
      </c>
    </row>
    <row r="8" spans="1:6" x14ac:dyDescent="0.25">
      <c r="A8" s="30">
        <v>0.092429</v>
      </c>
      <c r="B8" s="31">
        <v>5.629901162070009</v>
      </c>
      <c r="C8" s="31">
        <v>5.823919898122258</v>
      </c>
      <c r="D8" s="31">
        <v>6.0449460775524795</v>
      </c>
      <c r="E8" s="31">
        <v>6.2994688584549845</v>
      </c>
      <c r="F8" s="31">
        <v>6.5962372878632225</v>
      </c>
    </row>
    <row r="9" spans="1:6" x14ac:dyDescent="0.25">
      <c r="A9" s="30">
        <v>0.102429</v>
      </c>
      <c r="B9" s="31">
        <v>4.855893202929278</v>
      </c>
      <c r="C9" s="31">
        <v>4.987102468906039</v>
      </c>
      <c r="D9" s="31">
        <v>5.133781071234216</v>
      </c>
      <c r="E9" s="31">
        <v>5.299132699668899</v>
      </c>
      <c r="F9" s="31">
        <v>5.487311284886762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17273600000</v>
      </c>
      <c r="C5" s="18">
        <v>13816800000</v>
      </c>
      <c r="D5" s="18">
        <v>13040100000</v>
      </c>
      <c r="E5" s="18">
        <v>11931300000</v>
      </c>
      <c r="F5" s="8" t="s">
        <v>84</v>
      </c>
    </row>
    <row r="6" spans="1:6" x14ac:dyDescent="0.25">
      <c r="A6" t="s">
        <v>44</v>
      </c>
      <c r="B6" s="18">
        <v>994700000</v>
      </c>
      <c r="C6" s="18">
        <v>667900000</v>
      </c>
      <c r="D6" s="18">
        <v>794100000</v>
      </c>
      <c r="E6" s="18">
        <v>558600000</v>
      </c>
      <c r="F6" s="8" t="s">
        <v>85</v>
      </c>
    </row>
    <row r="7" spans="1:6" x14ac:dyDescent="0.25">
      <c r="A7" t="s">
        <v>86</v>
      </c>
      <c r="B7" s="18">
        <v>650700000</v>
      </c>
      <c r="C7" s="18">
        <v>542600000</v>
      </c>
      <c r="D7" s="18">
        <v>526300000</v>
      </c>
      <c r="E7" s="18">
        <v>523200000</v>
      </c>
      <c r="F7" s="8" t="s">
        <v>87</v>
      </c>
    </row>
    <row r="8" spans="1:6" x14ac:dyDescent="0.25">
      <c r="A8" t="s">
        <v>88</v>
      </c>
      <c r="B8" s="18">
        <v>627100000</v>
      </c>
      <c r="C8" s="18">
        <v>506900000</v>
      </c>
      <c r="D8" s="18">
        <v>429300000</v>
      </c>
      <c r="E8" s="18">
        <v>410300000</v>
      </c>
      <c r="F8" s="8" t="s">
        <v>89</v>
      </c>
    </row>
    <row r="9" spans="1:6" x14ac:dyDescent="0.25">
      <c r="A9" t="s">
        <v>90</v>
      </c>
      <c r="B9" s="18">
        <v>153900000</v>
      </c>
      <c r="C9" s="18">
        <v>38600000</v>
      </c>
      <c r="D9" s="18">
        <v>-77200000</v>
      </c>
      <c r="E9" s="18">
        <v>10100000</v>
      </c>
      <c r="F9" s="8" t="s">
        <v>91</v>
      </c>
    </row>
    <row r="10" spans="1:6" x14ac:dyDescent="0.25">
      <c r="A10" t="s">
        <v>92</v>
      </c>
      <c r="B10" s="18">
        <v>3419400000</v>
      </c>
      <c r="C10" s="18">
        <v>2944500000</v>
      </c>
      <c r="D10" s="18">
        <v>3133200000</v>
      </c>
      <c r="E10" s="18">
        <v>3628000000</v>
      </c>
      <c r="F10" s="8" t="s">
        <v>93</v>
      </c>
    </row>
    <row r="11" spans="1:6" x14ac:dyDescent="0.25">
      <c r="A11" t="s">
        <v>94</v>
      </c>
      <c r="B11" s="18">
        <v>1004200000</v>
      </c>
      <c r="C11" s="18">
        <v>1148700000</v>
      </c>
      <c r="D11" s="18">
        <v>1034700000</v>
      </c>
      <c r="E11" s="18">
        <v>1075300000</v>
      </c>
      <c r="F11" s="8" t="s">
        <v>95</v>
      </c>
    </row>
    <row r="12" spans="1:6" x14ac:dyDescent="0.25">
      <c r="A12" t="s">
        <v>32</v>
      </c>
      <c r="B12" s="34">
        <v>2115300000</v>
      </c>
      <c r="C12" s="34">
        <v>2110700000</v>
      </c>
      <c r="D12" s="34">
        <v>2075900000</v>
      </c>
      <c r="E12" s="34">
        <v>2033900000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