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<sst xmlns="http://schemas.openxmlformats.org/spreadsheetml/2006/main" count="120" uniqueCount="103">
  <si>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Compagnie Générale des Établissements Michelin Société en commandite par actions (ML.PA)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</si>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</sst>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-0.031257140637579894</v>
      </c>
    </row>
    <row r="7" spans="1:2" x14ac:dyDescent="0.25">
      <c r="A7" t="s">
        <v>5</v>
      </c>
      <c r="B7" s="6">
        <v>0.11230357654849057</v>
      </c>
    </row>
    <row r="8" spans="1:2" x14ac:dyDescent="0.25">
      <c r="A8" t="s">
        <v>6</v>
      </c>
      <c r="B8" s="6">
        <v>0.23529663131051815</v>
      </c>
    </row>
    <row r="9" spans="1:2" x14ac:dyDescent="0.25">
      <c r="A9" t="s">
        <v>7</v>
      </c>
      <c r="B9" s="6">
        <v>0.07346203957811322</v>
      </c>
    </row>
    <row r="10" spans="1:2" x14ac:dyDescent="0.25">
      <c r="A10" t="s">
        <v>8</v>
      </c>
      <c r="B10" s="6">
        <v>0.07911843743711507</v>
      </c>
    </row>
    <row r="11" spans="1:2" x14ac:dyDescent="0.25">
      <c r="A11" t="s">
        <v>9</v>
      </c>
      <c r="B11" s="6">
        <v>0.22647793505412156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0.09987634732900648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0.092</v>
      </c>
    </row>
    <row r="21" spans="1:3" x14ac:dyDescent="0.25">
      <c r="A21" t="s">
        <v>21</v>
      </c>
      <c r="B21" s="6">
        <v>0.0506546469199399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6608000000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0.03873577913945433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25992000000</v>
      </c>
      <c r="C29" s="8" t="s">
        <v>30</v>
      </c>
    </row>
    <row r="30" spans="1:2" x14ac:dyDescent="0.25">
      <c r="A30" t="s">
        <v>31</v>
      </c>
      <c r="B30" s="11">
        <v>2636000000</v>
      </c>
    </row>
    <row r="31" spans="1:2" x14ac:dyDescent="0.25">
      <c r="A31" t="s">
        <v>32</v>
      </c>
      <c r="B31" s="13">
        <v>713093000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-0.031257140637579894</v>
      </c>
      <c r="C5" s="10">
        <f>Assumptions!B6</f>
        <v>-0.031257140637579894</v>
      </c>
      <c r="D5" s="10">
        <f>Assumptions!B6</f>
        <v>-0.031257140637579894</v>
      </c>
      <c r="E5" s="10">
        <f>Assumptions!B6</f>
        <v>-0.031257140637579894</v>
      </c>
      <c r="F5" s="10">
        <f>Assumptions!B6</f>
        <v>-0.031257140637579894</v>
      </c>
    </row>
    <row r="6" spans="1:6" x14ac:dyDescent="0.25">
      <c r="A6" t="s">
        <v>43</v>
      </c>
      <c r="B6" s="18">
        <f>Assumptions!B29*(1+B5)</f>
        <v>25179564400.548023</v>
      </c>
      <c r="C6" s="18">
        <f>B6*(1+C5)</f>
        <v>24392523214.887093</v>
      </c>
      <c r="D6" s="18">
        <f>C6*(1+D5)</f>
        <v>23630082686.253933</v>
      </c>
      <c r="E6" s="18">
        <f>D6*(1+E5)</f>
        <v>22891473868.452053</v>
      </c>
      <c r="F6" s="18">
        <f>E6*(1+F5)</f>
        <v>22175951850.34436</v>
      </c>
    </row>
    <row r="7" spans="1:6" x14ac:dyDescent="0.25">
      <c r="A7" t="s">
        <v>5</v>
      </c>
      <c r="B7" s="10">
        <f>Assumptions!B7</f>
        <v>0.11230357654849057</v>
      </c>
      <c r="C7" s="10">
        <f>Assumptions!B7</f>
        <v>0.11230357654849057</v>
      </c>
      <c r="D7" s="10">
        <f>Assumptions!B7</f>
        <v>0.11230357654849057</v>
      </c>
      <c r="E7" s="10">
        <f>Assumptions!B7</f>
        <v>0.11230357654849057</v>
      </c>
      <c r="F7" s="10">
        <f>Assumptions!B7</f>
        <v>0.11230357654849057</v>
      </c>
    </row>
    <row r="8" spans="1:6" x14ac:dyDescent="0.25">
      <c r="A8" t="s">
        <v>44</v>
      </c>
      <c r="B8" s="18">
        <f>B6*B7</f>
        <v>2827755138.114593</v>
      </c>
      <c r="C8" s="18">
        <f>C6*C7</f>
        <v>2739367598.073906</v>
      </c>
      <c r="D8" s="18">
        <f>D6*D7</f>
        <v>2653742799.8028803</v>
      </c>
      <c r="E8" s="18">
        <f>E6*E7</f>
        <v>2570794387.893477</v>
      </c>
      <c r="F8" s="18">
        <f>F6*F7</f>
        <v>2490438706.160789</v>
      </c>
    </row>
    <row r="9" spans="1:6" x14ac:dyDescent="0.25">
      <c r="A9" t="s">
        <v>45</v>
      </c>
      <c r="B9" s="18">
        <f>B8*(1-Assumptions!B8)</f>
        <v>2162393879.9452205</v>
      </c>
      <c r="C9" s="18">
        <f>C8*(1-Assumptions!B8)</f>
        <v>2094803630.3259304</v>
      </c>
      <c r="D9" s="18">
        <f>D8*(1-Assumptions!B8)</f>
        <v>2029326058.6447198</v>
      </c>
      <c r="E9" s="18">
        <f>E8*(1-Assumptions!B8)</f>
        <v>1965895128.6301563</v>
      </c>
      <c r="F9" s="18">
        <f>F8*(1-Assumptions!B8)</f>
        <v>1904446868.11583</v>
      </c>
    </row>
    <row r="10" spans="1:6" x14ac:dyDescent="0.25">
      <c r="A10" t="s">
        <v>46</v>
      </c>
      <c r="B10" s="18">
        <f>B6*Assumptions!B9</f>
        <v>1849742156.5527096</v>
      </c>
      <c r="C10" s="18">
        <f>C6*Assumptions!B9</f>
        <v>1791924505.822081</v>
      </c>
      <c r="D10" s="18">
        <f>D6*Assumptions!B9</f>
        <v>1735914069.5316744</v>
      </c>
      <c r="E10" s="18">
        <f>E6*Assumptions!B9</f>
        <v>1681654359.3255692</v>
      </c>
      <c r="F10" s="18">
        <f>F6*Assumptions!B9</f>
        <v>1629090652.5123305</v>
      </c>
    </row>
    <row r="11" spans="1:6" x14ac:dyDescent="0.25">
      <c r="A11" t="s">
        <v>47</v>
      </c>
      <c r="B11" s="18">
        <f>-B6*Assumptions!B10</f>
        <v>-1992167790.7185686</v>
      </c>
      <c r="C11" s="18">
        <f>-C6*Assumptions!B10</f>
        <v>-1929898321.9104214</v>
      </c>
      <c r="D11" s="18">
        <f>-D6*Assumptions!B10</f>
        <v>-1869575218.6462376</v>
      </c>
      <c r="E11" s="18">
        <f>-E6*Assumptions!B10</f>
        <v>-1811137643.1044781</v>
      </c>
      <c r="F11" s="18">
        <f>-F6*Assumptions!B10</f>
        <v>-1754526659.0799463</v>
      </c>
    </row>
    <row r="12" spans="1:6" x14ac:dyDescent="0.25">
      <c r="A12" t="s">
        <v>48</v>
      </c>
      <c r="B12" s="18">
        <f>-(B6-Assumptions!B29)*Assumptions!B11</f>
        <v>183998736.92834112</v>
      </c>
      <c r="C12" s="18">
        <f>-(C6-B6)*Assumptions!B11</f>
        <v>178247462.53103507</v>
      </c>
      <c r="D12" s="18">
        <f>-(D6-C6)*Assumptions!B11</f>
        <v>172675956.52641085</v>
      </c>
      <c r="E12" s="18">
        <f>-(E6-D6)*Assumptions!B11</f>
        <v>167278599.86853567</v>
      </c>
      <c r="F12" s="18">
        <f>-(F6-E6)*Assumptions!B11</f>
        <v>162049949.14678803</v>
      </c>
    </row>
    <row r="13" spans="1:6" x14ac:dyDescent="0.25">
      <c r="A13" s="19" t="s">
        <v>49</v>
      </c>
      <c r="B13" s="20">
        <f>B9+B10+B11+B12</f>
        <v>2203966982.7077026</v>
      </c>
      <c r="C13" s="20">
        <f>C9+C10+C11+C12</f>
        <v>2135077276.7686248</v>
      </c>
      <c r="D13" s="20">
        <f>D9+D10+D11+D12</f>
        <v>2068340866.0565677</v>
      </c>
      <c r="E13" s="20">
        <f>E9+E10+E11+E12</f>
        <v>2003690444.7197833</v>
      </c>
      <c r="F13" s="20">
        <f>F9+F10+F11+F12</f>
        <v>1941060810.6950023</v>
      </c>
    </row>
    <row r="14" spans="1:6" x14ac:dyDescent="0.25">
      <c r="A14" t="s">
        <v>50</v>
      </c>
      <c r="B14" s="21">
        <f>1/(1+Assumptions!$B$26)^(1-0.5*Assumptions!$B$32)</f>
        <v>0.9811772150642857</v>
      </c>
      <c r="C14" s="21">
        <f>1/(1+Assumptions!$B$26)^(2-0.5*Assumptions!$B$32)</f>
        <v>0.94458786803045</v>
      </c>
      <c r="D14" s="21">
        <f>1/(1+Assumptions!$B$26)^(3-0.5*Assumptions!$B$32)</f>
        <v>0.9093629843125252</v>
      </c>
      <c r="E14" s="21">
        <f>1/(1+Assumptions!$B$26)^(4-0.5*Assumptions!$B$32)</f>
        <v>0.8754516813369916</v>
      </c>
      <c r="F14" s="21">
        <f>1/(1+Assumptions!$B$26)^(5-0.5*Assumptions!$B$32)</f>
        <v>0.8428049740062519</v>
      </c>
    </row>
    <row r="15" spans="1:6" x14ac:dyDescent="0.25">
      <c r="A15" s="19" t="s">
        <v>51</v>
      </c>
      <c r="B15" s="20">
        <f>B13*B14</f>
        <v>2162482186.1867805</v>
      </c>
      <c r="C15" s="20">
        <f>C13*C14</f>
        <v>2016768092.9431343</v>
      </c>
      <c r="D15" s="20">
        <f>D13*D14</f>
        <v>1880872622.5327532</v>
      </c>
      <c r="E15" s="20">
        <f>E13*E14</f>
        <v>1754134168.7087986</v>
      </c>
      <c r="F15" s="20">
        <f>F13*F14</f>
        <v>1635935706.1023557</v>
      </c>
    </row>
    <row r="17" spans="1:2" x14ac:dyDescent="0.25">
      <c r="A17" s="22" t="s">
        <v>52</v>
      </c>
      <c r="B17" s="23">
        <f>SUM(B15:F15)</f>
        <v>9450192776.473822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1941060810.6950023</v>
      </c>
    </row>
    <row r="5" spans="1:2" x14ac:dyDescent="0.25">
      <c r="A5" t="s">
        <v>56</v>
      </c>
      <c r="B5" s="18">
        <f>IF(Assumptions!$B$33=0,B4,B4-Forecast!F11-Forecast!F10-Forecast!F12)</f>
        <v>2873515679.929669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0.2503095144003069</v>
      </c>
    </row>
    <row r="7" spans="1:2" x14ac:dyDescent="0.25">
      <c r="A7" t="s">
        <v>58</v>
      </c>
      <c r="B7" s="18">
        <f>-MAX(Forecast!F9,0)*B6</f>
        <v>-719268314.4648632</v>
      </c>
    </row>
    <row r="8" spans="1:2" x14ac:dyDescent="0.25">
      <c r="A8" t="s">
        <v>59</v>
      </c>
      <c r="B8" s="18">
        <f>IF(OR(Assumptions!$B$33=0,Assumptions!B12&lt;=0),B5,MAX(B5+B7,0))</f>
        <v>2154247365.4648056</v>
      </c>
    </row>
    <row r="9" spans="1:2" x14ac:dyDescent="0.25">
      <c r="A9" t="s">
        <v>60</v>
      </c>
      <c r="B9" s="18">
        <f>B8*(1+Assumptions!B12)/(Assumptions!B26-Assumptions!B12)</f>
        <v>160755609651.5065</v>
      </c>
    </row>
    <row r="10" spans="1:2" x14ac:dyDescent="0.25">
      <c r="A10" t="s">
        <v>61</v>
      </c>
      <c r="B10" s="18">
        <f>B9/(1+Assumptions!B26)^(5-0.5*Assumptions!B32)</f>
        <v>135485627413.69711</v>
      </c>
    </row>
    <row r="11" spans="1:2" x14ac:dyDescent="0.25">
      <c r="A11" t="s">
        <v>62</v>
      </c>
      <c r="B11" s="18">
        <f>Forecast!B17+B10</f>
        <v>144935820190.17093</v>
      </c>
    </row>
    <row r="12" spans="1:2" x14ac:dyDescent="0.25">
      <c r="A12" t="s">
        <v>63</v>
      </c>
      <c r="B12" s="18">
        <f>-Assumptions!B30</f>
        <v>-2636000000</v>
      </c>
    </row>
    <row r="13" spans="1:2" x14ac:dyDescent="0.25">
      <c r="A13" t="s">
        <v>64</v>
      </c>
      <c r="B13" s="18">
        <f>B11+B12</f>
        <v>142299820190.17093</v>
      </c>
    </row>
    <row r="14" spans="1:2" x14ac:dyDescent="0.25">
      <c r="A14" s="19" t="s">
        <v>65</v>
      </c>
      <c r="B14" s="24">
        <f>B13/Assumptions!B31</f>
        <v>199.55296180185604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4119529358.6731195</v>
      </c>
    </row>
    <row r="18" spans="1:2" x14ac:dyDescent="0.25">
      <c r="A18" t="s">
        <v>60</v>
      </c>
      <c r="B18" s="18">
        <f>B17*Assumptions!B13</f>
        <v>32956234869.384956</v>
      </c>
    </row>
    <row r="19" spans="1:2" x14ac:dyDescent="0.25">
      <c r="A19" t="s">
        <v>61</v>
      </c>
      <c r="B19" s="18">
        <f>B18/(1+Assumptions!B26)^(5-0.5*Assumptions!B32)</f>
        <v>27775678672.43592</v>
      </c>
    </row>
    <row r="20" spans="1:2" x14ac:dyDescent="0.25">
      <c r="A20" t="s">
        <v>62</v>
      </c>
      <c r="B20" s="18">
        <f>Forecast!B17+B19</f>
        <v>37225871448.909744</v>
      </c>
    </row>
    <row r="21" spans="1:2" x14ac:dyDescent="0.25">
      <c r="A21" t="s">
        <v>63</v>
      </c>
      <c r="B21" s="18">
        <f>-Assumptions!B30</f>
        <v>-2636000000</v>
      </c>
    </row>
    <row r="22" spans="1:2" x14ac:dyDescent="0.25">
      <c r="A22" t="s">
        <v>64</v>
      </c>
      <c r="B22" s="18">
        <f>B20+B21</f>
        <v>34589871448.909744</v>
      </c>
    </row>
    <row r="23" spans="1:2" x14ac:dyDescent="0.25">
      <c r="A23" s="19" t="s">
        <v>65</v>
      </c>
      <c r="B23" s="25">
        <f>B22/Assumptions!B31</f>
        <v>48.5068167110177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199.55296180185604</v>
      </c>
    </row>
    <row r="29" spans="1:2" x14ac:dyDescent="0.25">
      <c r="A29" s="19" t="s">
        <v>73</v>
      </c>
      <c r="B29" s="12">
        <f>B28/B26-1</f>
        <v>5.032435362813061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0.018736</v>
      </c>
      <c r="B5" s="31">
        <v>865.985205585457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0.028736</v>
      </c>
      <c r="B6" s="31">
        <v>232.61924365150037</v>
      </c>
      <c r="C6" s="31">
        <v>341.10320941265246</v>
      </c>
      <c r="D6" s="31">
        <v>739.4864804578376</v>
      </c>
      <c r="E6" s="31" t="s">
        <v>76</v>
      </c>
      <c r="F6" s="31" t="s">
        <v>76</v>
      </c>
    </row>
    <row r="7" spans="1:6" x14ac:dyDescent="0.25">
      <c r="A7" s="30">
        <v>0.038736</v>
      </c>
      <c r="B7" s="31">
        <v>132.9732817354899</v>
      </c>
      <c r="C7" s="31">
        <v>157.42338153378108</v>
      </c>
      <c r="D7" s="32">
        <v>199.54971840597665</v>
      </c>
      <c r="E7" s="31">
        <v>289.70297414106113</v>
      </c>
      <c r="F7" s="31">
        <v>620.7107137666939</v>
      </c>
    </row>
    <row r="8" spans="1:6" x14ac:dyDescent="0.25">
      <c r="A8" s="30">
        <v>0.048736</v>
      </c>
      <c r="B8" s="31">
        <v>92.4304968121073</v>
      </c>
      <c r="C8" s="31">
        <v>101.60255679339839</v>
      </c>
      <c r="D8" s="31">
        <v>114.5702074524834</v>
      </c>
      <c r="E8" s="31">
        <v>134.37219025856118</v>
      </c>
      <c r="F8" s="31">
        <v>168.47173921024063</v>
      </c>
    </row>
    <row r="9" spans="1:6" x14ac:dyDescent="0.25">
      <c r="A9" s="30">
        <v>0.058736</v>
      </c>
      <c r="B9" s="31">
        <v>70.44847317928355</v>
      </c>
      <c r="C9" s="31">
        <v>74.6162438298155</v>
      </c>
      <c r="D9" s="31">
        <v>79.97316930530302</v>
      </c>
      <c r="E9" s="31">
        <v>87.13998047901781</v>
      </c>
      <c r="F9" s="31">
        <v>97.26043727147763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25992000000</v>
      </c>
      <c r="C5" s="18">
        <v>27193000000</v>
      </c>
      <c r="D5" s="18">
        <v>28343000000</v>
      </c>
      <c r="E5" s="18">
        <v>28590000000</v>
      </c>
      <c r="F5" s="8" t="s">
        <v>85</v>
      </c>
    </row>
    <row r="6" spans="1:6" x14ac:dyDescent="0.25">
      <c r="A6" t="s">
        <v>44</v>
      </c>
      <c r="B6" s="18">
        <v>2624000000</v>
      </c>
      <c r="C6" s="18">
        <v>3187000000</v>
      </c>
      <c r="D6" s="18">
        <v>3446000000</v>
      </c>
      <c r="E6" s="18">
        <v>3130000000</v>
      </c>
      <c r="F6" s="8" t="s">
        <v>86</v>
      </c>
    </row>
    <row r="7" spans="1:6" x14ac:dyDescent="0.25">
      <c r="A7" t="s">
        <v>87</v>
      </c>
      <c r="B7" s="18">
        <v>2036000000</v>
      </c>
      <c r="C7" s="18">
        <v>2085000000</v>
      </c>
      <c r="D7" s="18">
        <v>2008000000</v>
      </c>
      <c r="E7" s="18">
        <v>1944000000</v>
      </c>
      <c r="F7" s="8" t="s">
        <v>88</v>
      </c>
    </row>
    <row r="8" spans="1:6" x14ac:dyDescent="0.25">
      <c r="A8" t="s">
        <v>89</v>
      </c>
      <c r="B8" s="18">
        <v>2029000000</v>
      </c>
      <c r="C8" s="18">
        <v>2265000000</v>
      </c>
      <c r="D8" s="18">
        <v>2274000000</v>
      </c>
      <c r="E8" s="18">
        <v>2141000000</v>
      </c>
      <c r="F8" s="8" t="s">
        <v>90</v>
      </c>
    </row>
    <row r="9" spans="1:6" x14ac:dyDescent="0.25">
      <c r="A9" t="s">
        <v>91</v>
      </c>
      <c r="B9" s="18">
        <v>-272000000</v>
      </c>
      <c r="C9" s="18">
        <v>-69000000</v>
      </c>
      <c r="D9" s="18">
        <v>-985000000</v>
      </c>
      <c r="E9" s="18">
        <v>2077000000</v>
      </c>
      <c r="F9" s="8" t="s">
        <v>92</v>
      </c>
    </row>
    <row r="10" spans="1:6" x14ac:dyDescent="0.25">
      <c r="A10" t="s">
        <v>93</v>
      </c>
      <c r="B10" s="18">
        <v>6608000000</v>
      </c>
      <c r="C10" s="18">
        <v>7369000000</v>
      </c>
      <c r="D10" s="18">
        <v>6222000000</v>
      </c>
      <c r="E10" s="18">
        <v>7340000000</v>
      </c>
      <c r="F10" s="8" t="s">
        <v>94</v>
      </c>
    </row>
    <row r="11" spans="1:6" x14ac:dyDescent="0.25">
      <c r="A11" t="s">
        <v>95</v>
      </c>
      <c r="B11" s="18">
        <v>3972000000</v>
      </c>
      <c r="C11" s="18">
        <v>4027000000</v>
      </c>
      <c r="D11" s="18">
        <v>2641000000</v>
      </c>
      <c r="E11" s="18">
        <v>2869000000</v>
      </c>
      <c r="F11" s="8" t="s">
        <v>96</v>
      </c>
    </row>
    <row r="12" spans="1:6" x14ac:dyDescent="0.25">
      <c r="A12" t="s">
        <v>32</v>
      </c>
      <c r="B12" s="34">
        <v>713093000</v>
      </c>
      <c r="C12" s="34">
        <v>713207547</v>
      </c>
      <c r="D12" s="34">
        <v>715884477</v>
      </c>
      <c r="E12" s="34">
        <v>717250000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2026-09-19T00:06:42Z</dcterms:modified>
</cp:coreProperties>
</file>