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<sst xmlns="http://schemas.openxmlformats.org/spreadsheetml/2006/main" count="121" uniqueCount="108">
  <si>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Martin Marietta Materials, Inc. (MLM)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</si>
  <si>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</si>
  <si>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</si>
  <si>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</si>
  <si>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</si>
  <si>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</si>
  <si>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</si>
  <si>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</si>
  <si>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</si>
  <si>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</si>
  <si>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</si>
  <si>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</si>
  <si>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</si>
  <si>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</si>
  <si>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</si>
  <si>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</si>
  <si>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</si>
  <si>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</si>
  <si>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</si>
  <si>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</si>
  <si>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</si>
  <si>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</si>
  <si>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</si>
  <si>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</si>
  <si>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+ 70bp, the spread for a A+ rating at 6.3x interest cover. Book interest / average debt was lower, at 4.0%.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</si>
  <si>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</si>
  <si>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</si>
  <si>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</si>
  <si>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</si>
  <si>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</si>
  <si>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</si>
  <si>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</si>
  <si>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</si>
  <si>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</si>
  <si>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</si>
  <si>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</si>
  <si>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</si>
  <si>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</si>
  <si>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</si>
  <si>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</si>
  <si>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</si>
  <si>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</si>
  <si>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</si>
  <si>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</si>
  <si>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</si>
  <si>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</si>
  <si>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</si>
  <si>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</si>
  <si>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</si>
  <si>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</si>
  <si>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</si>
  <si>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</si>
  <si>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</si>
  <si>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</si>
  <si>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</si>
  <si>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</si>
  <si>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</si>
  <si>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</si>
  <si>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</si>
  <si>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</si>
  <si>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</si>
  <si>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</si>
  <si>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</si>
  <si>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</si>
  <si>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</si>
  <si>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</si>
  <si>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</si>
  <si>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</si>
  <si>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</si>
  <si>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</si>
  <si>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</si>
  <si>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</si>
  <si>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</si>
  <si>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</si>
  <si>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</si>
  <si>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</si>
  <si>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</si>
  <si>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</si>
  <si>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</si>
  <si>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</si>
  <si>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</si>
  <si>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</si>
  <si>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</si>
  <si>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</si>
  <si>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</si>
  <si>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</si>
  <si>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</si>
  <si>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</si>
  <si>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</si>
  <si>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</si>
  <si>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</si>
  <si>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</si>
  <si>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</si>
  <si>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</si>
  <si>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</si>
  <si>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</si>
  <si>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</si>
  <si>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</si>
  <si>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</si>
  <si>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</si>
  <si>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</si>
  <si>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</si>
  <si>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</si>
  <si>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</si>
  <si>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</si>
  <si>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11.8% of revenue against depreciation of 9.3%.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</si>
  <si>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Current EV/EBITDA of 21.0x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</si>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</sst>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0.2704332406504064</v>
      </c>
    </row>
    <row r="7" spans="1:2" x14ac:dyDescent="0.25">
      <c r="A7" t="s">
        <v>4</v>
      </c>
      <c r="B7" s="5">
        <v>0.22033990010827176</v>
      </c>
    </row>
    <row r="8" spans="1:2" x14ac:dyDescent="0.25">
      <c r="A8" t="s">
        <v>5</v>
      </c>
      <c r="B8" s="5">
        <v>0.20394731923508821</v>
      </c>
    </row>
    <row r="9" spans="1:2" x14ac:dyDescent="0.25">
      <c r="A9" t="s">
        <v>6</v>
      </c>
      <c r="B9" s="5">
        <v>0.09313490556351237</v>
      </c>
    </row>
    <row r="10" spans="1:3" x14ac:dyDescent="0.25">
      <c r="A10" t="s">
        <v>7</v>
      </c>
      <c r="B10" s="5">
        <v>0.1178880993807406</v>
      </c>
      <c r="C10" s="6" t="s">
        <v>8</v>
      </c>
    </row>
    <row r="11" spans="1:2" x14ac:dyDescent="0.25">
      <c r="A11" t="s">
        <v>9</v>
      </c>
      <c r="B11" s="5">
        <v>0.23080123372763223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0.08729263480558491</v>
      </c>
      <c r="C14" s="6" t="s">
        <v>13</v>
      </c>
    </row>
    <row r="15" spans="1:3" x14ac:dyDescent="0.25">
      <c r="A15" t="s">
        <v>14</v>
      </c>
      <c r="B15" s="5">
        <v>0.07934629597178053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1.05695</v>
      </c>
      <c r="C19" s="6" t="s">
        <v>21</v>
      </c>
    </row>
    <row r="20" spans="1:2" x14ac:dyDescent="0.25">
      <c r="A20" t="s">
        <v>22</v>
      </c>
      <c r="B20" s="9">
        <f>B17+B19*B18</f>
        <v>0.093648985</v>
      </c>
    </row>
    <row r="21" spans="1:3" x14ac:dyDescent="0.25">
      <c r="A21" t="s">
        <v>23</v>
      </c>
      <c r="B21" s="5">
        <v>0.055940000000000004</v>
      </c>
      <c r="C21" s="6" t="s">
        <v>24</v>
      </c>
    </row>
    <row r="22" spans="1:2" x14ac:dyDescent="0.25">
      <c r="A22" t="s">
        <v>25</v>
      </c>
      <c r="B22" s="10">
        <v>38379581440</v>
      </c>
    </row>
    <row r="23" spans="1:2" x14ac:dyDescent="0.25">
      <c r="A23" t="s">
        <v>26</v>
      </c>
      <c r="B23" s="10">
        <v>5705000000</v>
      </c>
    </row>
    <row r="24" spans="1:2" x14ac:dyDescent="0.25">
      <c r="A24" t="s">
        <v>27</v>
      </c>
      <c r="B24" s="9">
        <f>B22/(B22+B23)</f>
        <v>0.8705896752640235</v>
      </c>
    </row>
    <row r="25" spans="1:2" x14ac:dyDescent="0.25">
      <c r="A25" t="s">
        <v>28</v>
      </c>
      <c r="B25" s="9">
        <f>1-B24</f>
        <v>0.12941032473597647</v>
      </c>
    </row>
    <row r="26" spans="1:2" x14ac:dyDescent="0.25">
      <c r="A26" t="s">
        <v>29</v>
      </c>
      <c r="B26" s="11">
        <f>B24*B20+B25*B21*(1-B8)</f>
        <v>0.08729263480558491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6150000000</v>
      </c>
      <c r="C29" s="6" t="s">
        <v>32</v>
      </c>
    </row>
    <row r="30" spans="1:2" x14ac:dyDescent="0.25">
      <c r="A30" t="s">
        <v>33</v>
      </c>
      <c r="B30" s="10">
        <v>5638000000</v>
      </c>
    </row>
    <row r="31" spans="1:2" x14ac:dyDescent="0.25">
      <c r="A31" t="s">
        <v>34</v>
      </c>
      <c r="B31" s="12">
        <v>60600000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0.2704332406504064</v>
      </c>
      <c r="C5" s="5">
        <v>0.2286042737231886</v>
      </c>
      <c r="D5" s="5">
        <v>0.20315373950779</v>
      </c>
      <c r="E5" s="5">
        <v>0.17770320529239145</v>
      </c>
      <c r="F5" s="5">
        <v>0.15225267107699286</v>
      </c>
      <c r="G5" s="5">
        <v>0.1268021368615943</v>
      </c>
      <c r="H5" s="5">
        <v>0.10135160264619572</v>
      </c>
      <c r="I5" s="5">
        <v>0.07590106843079714</v>
      </c>
      <c r="J5" s="5">
        <v>0.05045053421539858</v>
      </c>
      <c r="K5" s="5">
        <v>0.024999999999999994</v>
      </c>
    </row>
    <row r="6" spans="1:11" x14ac:dyDescent="0.25">
      <c r="A6" t="s">
        <v>50</v>
      </c>
      <c r="B6" s="18">
        <f>Assumptions!B29*(1+B5)</f>
        <v>7813164429.999999</v>
      </c>
      <c r="C6" s="18">
        <f>B6*(1+C5)</f>
        <v>9599287210</v>
      </c>
      <c r="D6" s="18">
        <f>C6*(1+D5)</f>
        <v>11549418303.3208</v>
      </c>
      <c r="E6" s="18">
        <f>D6*(1+E5)</f>
        <v>13601786955.08352</v>
      </c>
      <c r="F6" s="18">
        <f>E6*(1+F5)</f>
        <v>15672695350.415186</v>
      </c>
      <c r="G6" s="18">
        <f>F6*(1+G5)</f>
        <v>17660026611.228607</v>
      </c>
      <c r="H6" s="18">
        <f>G6*(1+H5)</f>
        <v>19449898611.051094</v>
      </c>
      <c r="I6" s="18">
        <f>H6*(1+I5)</f>
        <v>20926166696.500546</v>
      </c>
      <c r="J6" s="18">
        <f>I6*(1+J5)</f>
        <v>21981902985.419483</v>
      </c>
      <c r="K6" s="18">
        <f>J6*(1+K5)</f>
        <v>22531450560.05497</v>
      </c>
    </row>
    <row r="7" spans="1:11" x14ac:dyDescent="0.25">
      <c r="A7" t="s">
        <v>4</v>
      </c>
      <c r="B7" s="9">
        <f>Assumptions!B7</f>
        <v>0.22033990010827176</v>
      </c>
      <c r="C7" s="9">
        <f>Assumptions!B7</f>
        <v>0.22033990010827176</v>
      </c>
      <c r="D7" s="9">
        <f>Assumptions!B7</f>
        <v>0.22033990010827176</v>
      </c>
      <c r="E7" s="9">
        <f>Assumptions!B7</f>
        <v>0.22033990010827176</v>
      </c>
      <c r="F7" s="9">
        <f>Assumptions!B7</f>
        <v>0.22033990010827176</v>
      </c>
      <c r="G7" s="9">
        <f>Assumptions!B7</f>
        <v>0.22033990010827176</v>
      </c>
      <c r="H7" s="9">
        <f>Assumptions!B7</f>
        <v>0.22033990010827176</v>
      </c>
      <c r="I7" s="9">
        <f>Assumptions!B7</f>
        <v>0.22033990010827176</v>
      </c>
      <c r="J7" s="9">
        <f>Assumptions!B7</f>
        <v>0.22033990010827176</v>
      </c>
      <c r="K7" s="9">
        <f>Assumptions!B7</f>
        <v>0.22033990010827176</v>
      </c>
    </row>
    <row r="8" spans="1:11" x14ac:dyDescent="0.25">
      <c r="A8" t="s">
        <v>51</v>
      </c>
      <c r="B8" s="18">
        <f>B6*B7</f>
        <v>1721551870.0357018</v>
      </c>
      <c r="C8" s="18">
        <f>C6*C7</f>
        <v>2115105984.9620106</v>
      </c>
      <c r="D8" s="18">
        <f>D6*D7</f>
        <v>2544797675.2623506</v>
      </c>
      <c r="E8" s="18">
        <f>E6*E7</f>
        <v>2997016378.977097</v>
      </c>
      <c r="F8" s="18">
        <f>F6*F7</f>
        <v>3453320127.937857</v>
      </c>
      <c r="G8" s="18">
        <f>G6*G7</f>
        <v>3891208499.427532</v>
      </c>
      <c r="H8" s="18">
        <f>H6*H7</f>
        <v>4285588717.0750117</v>
      </c>
      <c r="I8" s="18">
        <f>I6*I7</f>
        <v>4610869479.555973</v>
      </c>
      <c r="J8" s="18">
        <f>J6*J7</f>
        <v>4843490307.997049</v>
      </c>
      <c r="K8" s="18">
        <f>K6*K7</f>
        <v>4964577565.696976</v>
      </c>
    </row>
    <row r="9" spans="1:11" x14ac:dyDescent="0.25">
      <c r="A9" t="s">
        <v>52</v>
      </c>
      <c r="B9" s="18">
        <f>B8*(1-Assumptions!B8)</f>
        <v>1370445981.2177672</v>
      </c>
      <c r="C9" s="18">
        <f>C8*(1-Assumptions!B8)</f>
        <v>1683735789.4309177</v>
      </c>
      <c r="D9" s="18">
        <f>D8*(1-Assumptions!B8)</f>
        <v>2025793011.3969095</v>
      </c>
      <c r="E9" s="18">
        <f>E8*(1-Assumptions!B8)</f>
        <v>2385782922.781067</v>
      </c>
      <c r="F9" s="18">
        <f>F8*(1-Assumptions!B8)</f>
        <v>2749024745.3843594</v>
      </c>
      <c r="G9" s="18">
        <f>G8*(1-Assumptions!B8)</f>
        <v>3097606957.3844967</v>
      </c>
      <c r="H9" s="18">
        <f>H8*(1-Assumptions!B8)</f>
        <v>3411554386.883422</v>
      </c>
      <c r="I9" s="18">
        <f>I8*(1-Assumptions!B8)</f>
        <v>3670495009.857646</v>
      </c>
      <c r="J9" s="18">
        <f>J8*(1-Assumptions!B8)</f>
        <v>3855673443.9399195</v>
      </c>
      <c r="K9" s="18">
        <f>K8*(1-Assumptions!B8)</f>
        <v>3952065280.0384173</v>
      </c>
    </row>
    <row r="10" spans="1:11" x14ac:dyDescent="0.25">
      <c r="A10" t="s">
        <v>53</v>
      </c>
      <c r="B10" s="18">
        <f>B6*Assumptions!B9</f>
        <v>727678331.3402438</v>
      </c>
      <c r="C10" s="18">
        <f>C6*Assumptions!B9</f>
        <v>894028707.780382</v>
      </c>
      <c r="D10" s="18">
        <f>D6*Assumptions!B9</f>
        <v>1075653982.993284</v>
      </c>
      <c r="E10" s="18">
        <f>E6*Assumptions!B9</f>
        <v>1266801143.556718</v>
      </c>
      <c r="F10" s="18">
        <f>F6*Assumptions!B9</f>
        <v>1459675001.3866177</v>
      </c>
      <c r="G10" s="18">
        <f>G6*Assumptions!B9</f>
        <v>1644764910.6858916</v>
      </c>
      <c r="H10" s="18">
        <f>H6*Assumptions!B9</f>
        <v>1811464470.360134</v>
      </c>
      <c r="I10" s="18">
        <f>I6*Assumptions!B9</f>
        <v>1948956559.0848958</v>
      </c>
      <c r="J10" s="18">
        <f>J6*Assumptions!B9</f>
        <v>2047282458.6533341</v>
      </c>
      <c r="K10" s="18">
        <f>K6*Assumptions!B9</f>
        <v>2098464520.1196675</v>
      </c>
    </row>
    <row r="11" spans="1:11" x14ac:dyDescent="0.25">
      <c r="A11" t="s">
        <v>54</v>
      </c>
      <c r="B11" s="18">
        <f>-B6*B19</f>
        <v>-921079104.8019074</v>
      </c>
      <c r="C11" s="18">
        <f>-C6*C19</f>
        <v>-1147465330.2946987</v>
      </c>
      <c r="D11" s="18">
        <f>-D6*D19</f>
        <v>-1399615433.4675891</v>
      </c>
      <c r="E11" s="18">
        <f>-E6*E19</f>
        <v>-1670752967.098946</v>
      </c>
      <c r="F11" s="18">
        <f>-F6*F19</f>
        <v>-1950964669.7214904</v>
      </c>
      <c r="G11" s="18">
        <f>-G6*G19</f>
        <v>-2227462205.426802</v>
      </c>
      <c r="H11" s="18">
        <f>-H6*H19</f>
        <v>-2485280567.6557827</v>
      </c>
      <c r="I11" s="18">
        <f>-I6*I19</f>
        <v>-2708411017.9105124</v>
      </c>
      <c r="J11" s="18">
        <f>-J6*J19</f>
        <v>-2881287091.6269755</v>
      </c>
      <c r="K11" s="18">
        <f>-K6*K19</f>
        <v>-2990460442.1803555</v>
      </c>
    </row>
    <row r="12" spans="1:11" x14ac:dyDescent="0.25">
      <c r="A12" t="s">
        <v>55</v>
      </c>
      <c r="B12" s="18">
        <f>-(B6-Assumptions!B29)*Assumptions!B11</f>
        <v>-383860402.335914</v>
      </c>
      <c r="C12" s="18">
        <f>-(C6-B6)*Assumptions!B11</f>
        <v>-412239341.21302843</v>
      </c>
      <c r="D12" s="18">
        <f>-(D6-C6)*Assumptions!B11</f>
        <v>-450092662.2690571</v>
      </c>
      <c r="E12" s="18">
        <f>-(E6-D6)*Assumptions!B11</f>
        <v>-473689216.890753</v>
      </c>
      <c r="F12" s="18">
        <f>-(F6-E6)*Assumptions!B11</f>
        <v>-477968212.5794594</v>
      </c>
      <c r="G12" s="18">
        <f>-(G6-F6)*Assumptions!B11</f>
        <v>-458678506.8212285</v>
      </c>
      <c r="H12" s="18">
        <f>-(H6-G6)*Assumptions!B11</f>
        <v>-413104665.7735743</v>
      </c>
      <c r="I12" s="18">
        <f>-(I6-H6)*Assumptions!B11</f>
        <v>-340724495.43446296</v>
      </c>
      <c r="J12" s="18">
        <f>-(J6-I6)*Assumptions!B11</f>
        <v>-243665237.9735228</v>
      </c>
      <c r="K12" s="18">
        <f>-(K6-J6)*Assumptions!B11</f>
        <v>-126836258.21789835</v>
      </c>
    </row>
    <row r="13" spans="1:11" x14ac:dyDescent="0.25">
      <c r="A13" s="19" t="s">
        <v>56</v>
      </c>
      <c r="B13" s="20">
        <f>B9+B10+B11+B12</f>
        <v>793184805.4201895</v>
      </c>
      <c r="C13" s="20">
        <f>C9+C10+C11+C12</f>
        <v>1018059825.7035728</v>
      </c>
      <c r="D13" s="20">
        <f>D9+D10+D11+D12</f>
        <v>1251738898.6535473</v>
      </c>
      <c r="E13" s="20">
        <f>E9+E10+E11+E12</f>
        <v>1508141882.3480856</v>
      </c>
      <c r="F13" s="20">
        <f>F9+F10+F11+F12</f>
        <v>1779766864.4700272</v>
      </c>
      <c r="G13" s="20">
        <f>G9+G10+G11+G12</f>
        <v>2056231155.8223581</v>
      </c>
      <c r="H13" s="20">
        <f>H9+H10+H11+H12</f>
        <v>2324633623.814199</v>
      </c>
      <c r="I13" s="20">
        <f>I9+I10+I11+I12</f>
        <v>2570316055.5975666</v>
      </c>
      <c r="J13" s="20">
        <f>J9+J10+J11+J12</f>
        <v>2778003572.992756</v>
      </c>
      <c r="K13" s="20">
        <f>K9+K10+K11+K12</f>
        <v>2933233099.759831</v>
      </c>
    </row>
    <row r="14" spans="1:11" x14ac:dyDescent="0.25">
      <c r="A14" t="s">
        <v>57</v>
      </c>
      <c r="B14" s="21">
        <f>1/(1+Assumptions!$B$26)^(1-0.5*Assumptions!$B$32)</f>
        <v>0.9590180404159738</v>
      </c>
      <c r="C14" s="21">
        <f>1/(1+Assumptions!$B$26)^(2-0.5*Assumptions!$B$32)</f>
        <v>0.8820238542197544</v>
      </c>
      <c r="D14" s="21">
        <f>1/(1+Assumptions!$B$26)^(3-0.5*Assumptions!$B$32)</f>
        <v>0.8112110999238636</v>
      </c>
      <c r="E14" s="21">
        <f>1/(1+Assumptions!$B$26)^(4-0.5*Assumptions!$B$32)</f>
        <v>0.7460835049884373</v>
      </c>
      <c r="F14" s="21">
        <f>1/(1+Assumptions!$B$26)^(5-0.5*Assumptions!$B$32)</f>
        <v>0.6861846398157952</v>
      </c>
      <c r="G14" s="21">
        <f>1/(1+Assumptions!$B$26)^(6-0.5*Assumptions!$B$32)</f>
        <v>0.6310947189838084</v>
      </c>
      <c r="H14" s="21">
        <f>1/(1+Assumptions!$B$26)^(7-0.5*Assumptions!$B$32)</f>
        <v>0.5804276592903181</v>
      </c>
      <c r="I14" s="21">
        <f>1/(1+Assumptions!$B$26)^(8-0.5*Assumptions!$B$32)</f>
        <v>0.5338283739906897</v>
      </c>
      <c r="J14" s="21">
        <f>1/(1+Assumptions!$B$26)^(9-0.5*Assumptions!$B$32)</f>
        <v>0.4909702842658745</v>
      </c>
      <c r="K14" s="21">
        <f>1/(1+Assumptions!$B$26)^(10-0.5*Assumptions!$B$32)</f>
        <v>0.4515530304807622</v>
      </c>
    </row>
    <row r="15" spans="1:11" x14ac:dyDescent="0.25">
      <c r="A15" s="19" t="s">
        <v>58</v>
      </c>
      <c r="B15" s="20">
        <f>B13*B14</f>
        <v>760678537.7817956</v>
      </c>
      <c r="C15" s="20">
        <f>C13*C14</f>
        <v>897953051.2933567</v>
      </c>
      <c r="D15" s="20">
        <f>D13*D14</f>
        <v>1015424488.7942297</v>
      </c>
      <c r="E15" s="20">
        <f>E13*E14</f>
        <v>1125199781.6021192</v>
      </c>
      <c r="F15" s="20">
        <f>F13*F14</f>
        <v>1221248684.852453</v>
      </c>
      <c r="G15" s="20">
        <f>G13*G14</f>
        <v>1297676623.4494627</v>
      </c>
      <c r="H15" s="20">
        <f>H13*H14</f>
        <v>1349281652.9780455</v>
      </c>
      <c r="I15" s="20">
        <f>I13*I14</f>
        <v>1372107640.6018121</v>
      </c>
      <c r="J15" s="20">
        <f>J13*J14</f>
        <v>1363917203.9238684</v>
      </c>
      <c r="K15" s="20">
        <f>K13*K14</f>
        <v>1324510295.3030314</v>
      </c>
    </row>
    <row r="17" spans="1:2" x14ac:dyDescent="0.25">
      <c r="A17" s="22" t="s">
        <v>59</v>
      </c>
      <c r="B17" s="23">
        <f>SUM(B15:K15)</f>
        <v>11727997960.580175</v>
      </c>
    </row>
    <row r="19" spans="1:11" x14ac:dyDescent="0.25">
      <c r="A19" t="s">
        <v>7</v>
      </c>
      <c r="B19" s="9">
        <f>Assumptions!$B$10+($B$20-Assumptions!$B$10)*0/9</f>
        <v>0.1178880993807406</v>
      </c>
      <c r="C19" s="9">
        <f>Assumptions!$B$10+($B$20-Assumptions!$B$10)*1/9</f>
        <v>0.11953651403401427</v>
      </c>
      <c r="D19" s="9">
        <f>Assumptions!$B$10+($B$20-Assumptions!$B$10)*2/9</f>
        <v>0.12118492868728793</v>
      </c>
      <c r="E19" s="9">
        <f>Assumptions!$B$10+($B$20-Assumptions!$B$10)*3/9</f>
        <v>0.1228333433405616</v>
      </c>
      <c r="F19" s="9">
        <f>Assumptions!$B$10+($B$20-Assumptions!$B$10)*4/9</f>
        <v>0.12448175799383526</v>
      </c>
      <c r="G19" s="9">
        <f>Assumptions!$B$10+($B$20-Assumptions!$B$10)*5/9</f>
        <v>0.12613017264710893</v>
      </c>
      <c r="H19" s="9">
        <f>Assumptions!$B$10+($B$20-Assumptions!$B$10)*6/9</f>
        <v>0.1277785873003826</v>
      </c>
      <c r="I19" s="9">
        <f>Assumptions!$B$10+($B$20-Assumptions!$B$10)*7/9</f>
        <v>0.12942700195365625</v>
      </c>
      <c r="J19" s="9">
        <f>Assumptions!$B$10+($B$20-Assumptions!$B$10)*8/9</f>
        <v>0.13107541660692992</v>
      </c>
      <c r="K19" s="9">
        <f>Assumptions!$B$10+($B$20-Assumptions!$B$10)*9/9</f>
        <v>0.1327238312602036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0.1327238312602036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2933233099.759831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4199380837.5053625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0.28639300504193876</v>
      </c>
    </row>
    <row r="7" spans="1:2" x14ac:dyDescent="0.25">
      <c r="A7" t="s">
        <v>66</v>
      </c>
      <c r="B7" s="18">
        <f>-MAX(B5,0)*B6</f>
        <v>-1202673297.3686943</v>
      </c>
    </row>
    <row r="8" spans="1:2" x14ac:dyDescent="0.25">
      <c r="A8" t="s">
        <v>67</v>
      </c>
      <c r="B8" s="18">
        <f>IF(OR(Assumptions!$B$33=0,Assumptions!B12&lt;=0),B5,MAX(B5+B7,0))</f>
        <v>2996707540.136668</v>
      </c>
    </row>
    <row r="9" spans="1:2" x14ac:dyDescent="0.25">
      <c r="A9" t="s">
        <v>68</v>
      </c>
      <c r="B9" s="18">
        <f>B8*(1+Assumptions!B12)/(Assumptions!B26-Assumptions!B12)</f>
        <v>49309605192.11647</v>
      </c>
    </row>
    <row r="10" spans="1:2" x14ac:dyDescent="0.25">
      <c r="A10" t="s">
        <v>69</v>
      </c>
      <c r="B10" s="18">
        <f>B9/(1+Assumptions!B26)^(10-0.5*Assumptions!B32)</f>
        <v>22265901656.310116</v>
      </c>
    </row>
    <row r="11" spans="1:2" x14ac:dyDescent="0.25">
      <c r="A11" t="s">
        <v>70</v>
      </c>
      <c r="B11" s="18">
        <f>Forecast!B17+B10</f>
        <v>33993899616.89029</v>
      </c>
    </row>
    <row r="12" spans="1:2" x14ac:dyDescent="0.25">
      <c r="A12" t="s">
        <v>71</v>
      </c>
      <c r="B12" s="18">
        <f>-Assumptions!B30</f>
        <v>-5638000000</v>
      </c>
    </row>
    <row r="13" spans="1:2" x14ac:dyDescent="0.25">
      <c r="A13" t="s">
        <v>72</v>
      </c>
      <c r="B13" s="18">
        <f>B11+B12</f>
        <v>28355899616.89029</v>
      </c>
    </row>
    <row r="14" spans="1:2" x14ac:dyDescent="0.25">
      <c r="A14" s="19" t="s">
        <v>73</v>
      </c>
      <c r="B14" s="24">
        <f>B13/Assumptions!B31</f>
        <v>467.919135592249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7063042085.816643</v>
      </c>
    </row>
    <row r="18" spans="1:2" x14ac:dyDescent="0.25">
      <c r="A18" t="s">
        <v>68</v>
      </c>
      <c r="B18" s="18">
        <f>B17*Assumptions!B13</f>
        <v>141260841716.33286</v>
      </c>
    </row>
    <row r="19" spans="1:2" x14ac:dyDescent="0.25">
      <c r="A19" t="s">
        <v>69</v>
      </c>
      <c r="B19" s="18">
        <f>B18/(1+Assumptions!B26)^(10-0.5*Assumptions!B32)</f>
        <v>63786761165.27337</v>
      </c>
    </row>
    <row r="20" spans="1:2" x14ac:dyDescent="0.25">
      <c r="A20" t="s">
        <v>70</v>
      </c>
      <c r="B20" s="18">
        <f>Forecast!B17+B19</f>
        <v>75514759125.85355</v>
      </c>
    </row>
    <row r="21" spans="1:2" x14ac:dyDescent="0.25">
      <c r="A21" t="s">
        <v>71</v>
      </c>
      <c r="B21" s="18">
        <f>-Assumptions!B30</f>
        <v>-5638000000</v>
      </c>
    </row>
    <row r="22" spans="1:2" x14ac:dyDescent="0.25">
      <c r="A22" t="s">
        <v>72</v>
      </c>
      <c r="B22" s="18">
        <f>B20+B21</f>
        <v>69876759125.85355</v>
      </c>
    </row>
    <row r="23" spans="1:2" x14ac:dyDescent="0.25">
      <c r="A23" s="19" t="s">
        <v>73</v>
      </c>
      <c r="B23" s="25">
        <f>B22/Assumptions!B31</f>
        <v>1153.0818337599594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540.41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467.919135592249</v>
      </c>
    </row>
    <row r="29" spans="1:2" x14ac:dyDescent="0.25">
      <c r="A29" s="19" t="s">
        <v>81</v>
      </c>
      <c r="B29" s="11">
        <f>B28/B26-1</f>
        <v>-0.13414049408366047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0.067293</v>
      </c>
      <c r="B5" s="31">
        <v>722.6975964874207</v>
      </c>
      <c r="C5" s="31">
        <v>723.5272043616785</v>
      </c>
      <c r="D5" s="31">
        <v>726.8337757075884</v>
      </c>
      <c r="E5" s="31">
        <v>733.6135954063559</v>
      </c>
      <c r="F5" s="31">
        <v>745.4799767237924</v>
      </c>
    </row>
    <row r="6" spans="1:6" x14ac:dyDescent="0.25">
      <c r="A6" s="30">
        <v>0.077293</v>
      </c>
      <c r="B6" s="31">
        <v>575.44708408119</v>
      </c>
      <c r="C6" s="31">
        <v>566.3914161162531</v>
      </c>
      <c r="D6" s="31">
        <v>557.3435186010871</v>
      </c>
      <c r="E6" s="31">
        <v>548.3058561022572</v>
      </c>
      <c r="F6" s="31">
        <v>539.2820586588957</v>
      </c>
    </row>
    <row r="7" spans="1:6" x14ac:dyDescent="0.25">
      <c r="A7" s="30">
        <v>0.087293</v>
      </c>
      <c r="B7" s="31">
        <v>483.13138670687255</v>
      </c>
      <c r="C7" s="31">
        <v>475.52382714148115</v>
      </c>
      <c r="D7" s="32">
        <v>467.91626757608975</v>
      </c>
      <c r="E7" s="31">
        <v>460.3087080106983</v>
      </c>
      <c r="F7" s="31">
        <v>452.7011484453069</v>
      </c>
    </row>
    <row r="8" spans="1:6" x14ac:dyDescent="0.25">
      <c r="A8" s="30">
        <v>0.097293</v>
      </c>
      <c r="B8" s="31">
        <v>410.7403891319599</v>
      </c>
      <c r="C8" s="31">
        <v>404.29300841115935</v>
      </c>
      <c r="D8" s="31">
        <v>397.8456276903587</v>
      </c>
      <c r="E8" s="31">
        <v>391.398246969558</v>
      </c>
      <c r="F8" s="31">
        <v>384.9508662487573</v>
      </c>
    </row>
    <row r="9" spans="1:6" x14ac:dyDescent="0.25">
      <c r="A9" s="30">
        <v>0.107293</v>
      </c>
      <c r="B9" s="31">
        <v>352.56539549968494</v>
      </c>
      <c r="C9" s="31">
        <v>347.03838843648305</v>
      </c>
      <c r="D9" s="31">
        <v>341.5113813732811</v>
      </c>
      <c r="E9" s="31">
        <v>335.98437431007915</v>
      </c>
      <c r="F9" s="31">
        <v>330.4573672468771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6150000000</v>
      </c>
      <c r="C5" s="18">
        <v>5662000000</v>
      </c>
      <c r="D5" s="18">
        <v>5851000000</v>
      </c>
      <c r="E5" s="18">
        <v>6161000000</v>
      </c>
      <c r="F5" s="6" t="s">
        <v>91</v>
      </c>
    </row>
    <row r="6" spans="1:6" x14ac:dyDescent="0.25">
      <c r="A6" t="s">
        <v>51</v>
      </c>
      <c r="B6" s="18">
        <v>1455000000</v>
      </c>
      <c r="C6" s="18">
        <v>1251000000</v>
      </c>
      <c r="D6" s="18">
        <v>1325000000</v>
      </c>
      <c r="E6" s="18">
        <v>1216000000</v>
      </c>
      <c r="F6" s="6" t="s">
        <v>92</v>
      </c>
    </row>
    <row r="7" spans="1:6" x14ac:dyDescent="0.25">
      <c r="A7" t="s">
        <v>93</v>
      </c>
      <c r="B7" s="18">
        <v>637000000</v>
      </c>
      <c r="C7" s="18">
        <v>573000000</v>
      </c>
      <c r="D7" s="18">
        <v>507300000</v>
      </c>
      <c r="E7" s="18">
        <v>499400000</v>
      </c>
      <c r="F7" s="6" t="s">
        <v>94</v>
      </c>
    </row>
    <row r="8" spans="1:6" x14ac:dyDescent="0.25">
      <c r="A8" t="s">
        <v>95</v>
      </c>
      <c r="B8" s="18">
        <v>807000000</v>
      </c>
      <c r="C8" s="18">
        <v>855000000</v>
      </c>
      <c r="D8" s="18">
        <v>650000000</v>
      </c>
      <c r="E8" s="18">
        <v>482000000</v>
      </c>
      <c r="F8" s="6" t="s">
        <v>96</v>
      </c>
    </row>
    <row r="9" spans="1:6" x14ac:dyDescent="0.25">
      <c r="A9" t="s">
        <v>97</v>
      </c>
      <c r="B9" s="18">
        <v>92000000</v>
      </c>
      <c r="C9" s="18">
        <v>-211000000</v>
      </c>
      <c r="D9" s="18">
        <v>151000000</v>
      </c>
      <c r="E9" s="18">
        <v>216000000</v>
      </c>
      <c r="F9" s="6" t="s">
        <v>98</v>
      </c>
    </row>
    <row r="10" spans="1:6" x14ac:dyDescent="0.25">
      <c r="A10" t="s">
        <v>99</v>
      </c>
      <c r="B10" s="18">
        <v>5705000000</v>
      </c>
      <c r="C10" s="18">
        <v>5795000000</v>
      </c>
      <c r="D10" s="18">
        <v>4726000000</v>
      </c>
      <c r="E10" s="18">
        <v>5428000000</v>
      </c>
      <c r="F10" s="6" t="s">
        <v>100</v>
      </c>
    </row>
    <row r="11" spans="1:6" x14ac:dyDescent="0.25">
      <c r="A11" t="s">
        <v>101</v>
      </c>
      <c r="B11" s="18">
        <v>67000000</v>
      </c>
      <c r="C11" s="18">
        <v>670000000</v>
      </c>
      <c r="D11" s="18">
        <v>1272000000</v>
      </c>
      <c r="E11" s="18">
        <v>358000000</v>
      </c>
      <c r="F11" s="6" t="s">
        <v>102</v>
      </c>
    </row>
    <row r="12" spans="1:6" x14ac:dyDescent="0.25">
      <c r="A12" t="s">
        <v>34</v>
      </c>
      <c r="B12" s="34">
        <v>60600000</v>
      </c>
      <c r="C12" s="34">
        <v>61600000</v>
      </c>
      <c r="D12" s="34">
        <v>62100000</v>
      </c>
      <c r="E12" s="34">
        <v>62500000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7" ht="38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