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<sst xmlns="http://schemas.openxmlformats.org/spreadsheetml/2006/main" count="112" uniqueCount="100">
  <si>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Martin Marietta Materials, Inc. (MLM)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</si>
  <si>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</si>
  <si>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</si>
  <si>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</si>
  <si>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</si>
  <si>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</si>
  <si>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</si>
  <si>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</si>
  <si>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</si>
  <si>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</si>
  <si>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</si>
  <si>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</si>
  <si>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</si>
  <si>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</si>
  <si>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</si>
  <si>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</si>
  <si>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</si>
  <si>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</si>
  <si>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</si>
  <si>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</si>
  <si>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</si>
  <si>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</si>
  <si>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</si>
  <si>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</si>
  <si>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</si>
  <si>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</si>
  <si>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</si>
  <si>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</si>
  <si>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</si>
  <si>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</si>
  <si>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</si>
  <si>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</si>
  <si>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</si>
  <si>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</si>
  <si>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</si>
  <si>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</si>
  <si>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</si>
  <si>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</si>
  <si>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</si>
  <si>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</si>
  <si>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</si>
  <si>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</si>
  <si>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</si>
  <si>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</si>
  <si>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</si>
  <si>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</si>
  <si>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</si>
  <si>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</si>
  <si>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</si>
  <si>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</si>
  <si>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</si>
  <si>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</si>
  <si>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</si>
  <si>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</si>
  <si>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</si>
  <si>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</si>
  <si>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</si>
  <si>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</si>
  <si>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</si>
  <si>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</si>
  <si>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</si>
  <si>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</si>
  <si>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</si>
  <si>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</si>
  <si>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</si>
  <si>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</si>
  <si>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</si>
  <si>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</si>
  <si>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</si>
  <si>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</si>
  <si>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</si>
  <si>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</si>
  <si>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</si>
  <si>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</si>
  <si>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</si>
  <si>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</si>
  <si>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</si>
  <si>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</si>
  <si>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</si>
  <si>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</si>
  <si>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</si>
  <si>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</si>
  <si>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</si>
  <si>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</si>
  <si>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</si>
  <si>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</si>
  <si>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</si>
  <si>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</si>
  <si>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</si>
  <si>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</si>
  <si>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</si>
  <si>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</si>
  <si>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</si>
  <si>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</si>
  <si>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</si>
  <si>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</si>
  <si>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</si>
  <si>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</si>
  <si>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11.8% of revenue against depreciation of 9.3%.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</si>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</sst>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-0.0005954960264881182</v>
      </c>
    </row>
    <row r="7" spans="1:2" x14ac:dyDescent="0.25">
      <c r="A7" t="s">
        <v>5</v>
      </c>
      <c r="B7" s="6">
        <v>0.22033990010827176</v>
      </c>
    </row>
    <row r="8" spans="1:2" x14ac:dyDescent="0.25">
      <c r="A8" t="s">
        <v>6</v>
      </c>
      <c r="B8" s="6">
        <v>0.20394731923508821</v>
      </c>
    </row>
    <row r="9" spans="1:2" x14ac:dyDescent="0.25">
      <c r="A9" t="s">
        <v>7</v>
      </c>
      <c r="B9" s="6">
        <v>0.09313490556351237</v>
      </c>
    </row>
    <row r="10" spans="1:2" x14ac:dyDescent="0.25">
      <c r="A10" t="s">
        <v>8</v>
      </c>
      <c r="B10" s="6">
        <v>0.1178880993807406</v>
      </c>
    </row>
    <row r="11" spans="1:2" x14ac:dyDescent="0.25">
      <c r="A11" t="s">
        <v>9</v>
      </c>
      <c r="B11" s="6">
        <v>0.1885245901639344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19.351314783938815</v>
      </c>
    </row>
    <row r="14" spans="1:3" x14ac:dyDescent="0.25">
      <c r="A14" t="s">
        <v>12</v>
      </c>
      <c r="B14" s="6">
        <v>0.09900613270433516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1.0676700000000001</v>
      </c>
      <c r="C19" s="8" t="s">
        <v>19</v>
      </c>
    </row>
    <row r="20" spans="1:2" x14ac:dyDescent="0.25">
      <c r="A20" t="s">
        <v>20</v>
      </c>
      <c r="B20" s="10">
        <f>B17+B19*B18</f>
        <v>0.10870185000000002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34844950528</v>
      </c>
    </row>
    <row r="23" spans="1:2" x14ac:dyDescent="0.25">
      <c r="A23" t="s">
        <v>24</v>
      </c>
      <c r="B23" s="11">
        <v>5705000000</v>
      </c>
    </row>
    <row r="24" spans="1:2" x14ac:dyDescent="0.25">
      <c r="A24" t="s">
        <v>25</v>
      </c>
      <c r="B24" s="10">
        <f>B22/(B22+B23)</f>
        <v>0.859309322805199</v>
      </c>
    </row>
    <row r="25" spans="1:2" x14ac:dyDescent="0.25">
      <c r="A25" t="s">
        <v>26</v>
      </c>
      <c r="B25" s="10">
        <f>1-B24</f>
        <v>0.140690677194801</v>
      </c>
    </row>
    <row r="26" spans="1:2" x14ac:dyDescent="0.25">
      <c r="A26" t="s">
        <v>27</v>
      </c>
      <c r="B26" s="12">
        <f>B24*B20+B25*B21*(1-B8)</f>
        <v>0.09900613270433516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6150000000</v>
      </c>
      <c r="C29" s="8" t="s">
        <v>30</v>
      </c>
    </row>
    <row r="30" spans="1:2" x14ac:dyDescent="0.25">
      <c r="A30" t="s">
        <v>31</v>
      </c>
      <c r="B30" s="11">
        <v>5638000000</v>
      </c>
    </row>
    <row r="31" spans="1:2" x14ac:dyDescent="0.25">
      <c r="A31" t="s">
        <v>32</v>
      </c>
      <c r="B31" s="13">
        <v>60600000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-0.0005954960264881182</v>
      </c>
      <c r="C5" s="10">
        <f>Assumptions!B6</f>
        <v>-0.0005954960264881182</v>
      </c>
      <c r="D5" s="10">
        <f>Assumptions!B6</f>
        <v>-0.0005954960264881182</v>
      </c>
      <c r="E5" s="10">
        <f>Assumptions!B6</f>
        <v>-0.0005954960264881182</v>
      </c>
      <c r="F5" s="10">
        <f>Assumptions!B6</f>
        <v>-0.0005954960264881182</v>
      </c>
    </row>
    <row r="6" spans="1:6" x14ac:dyDescent="0.25">
      <c r="A6" t="s">
        <v>43</v>
      </c>
      <c r="B6" s="18">
        <f>Assumptions!B29*(1+B5)</f>
        <v>6146337699.4370985</v>
      </c>
      <c r="C6" s="18">
        <f>B6*(1+C5)</f>
        <v>6142677579.759629</v>
      </c>
      <c r="D6" s="18">
        <f>C6*(1+D5)</f>
        <v>6139019639.668884</v>
      </c>
      <c r="E6" s="18">
        <f>D6*(1+E5)</f>
        <v>6135363877.866929</v>
      </c>
      <c r="F6" s="18">
        <f>E6*(1+F5)</f>
        <v>6131710293.056601</v>
      </c>
    </row>
    <row r="7" spans="1:6" x14ac:dyDescent="0.25">
      <c r="A7" t="s">
        <v>5</v>
      </c>
      <c r="B7" s="10">
        <f>Assumptions!B7</f>
        <v>0.22033990010827176</v>
      </c>
      <c r="C7" s="10">
        <f>Assumptions!B7</f>
        <v>0.22033990010827176</v>
      </c>
      <c r="D7" s="10">
        <f>Assumptions!B7</f>
        <v>0.22033990010827176</v>
      </c>
      <c r="E7" s="10">
        <f>Assumptions!B7</f>
        <v>0.22033990010827176</v>
      </c>
      <c r="F7" s="10">
        <f>Assumptions!B7</f>
        <v>0.22033990010827176</v>
      </c>
    </row>
    <row r="8" spans="1:6" x14ac:dyDescent="0.25">
      <c r="A8" t="s">
        <v>44</v>
      </c>
      <c r="B8" s="18">
        <f>B6*B7</f>
        <v>1354283434.725675</v>
      </c>
      <c r="C8" s="18">
        <f>C6*C7</f>
        <v>1353476964.3215573</v>
      </c>
      <c r="D8" s="18">
        <f>D6*D7</f>
        <v>1352670974.1673605</v>
      </c>
      <c r="E8" s="18">
        <f>E6*E7</f>
        <v>1351865463.977098</v>
      </c>
      <c r="F8" s="18">
        <f>F6*F7</f>
        <v>1351060433.4649532</v>
      </c>
    </row>
    <row r="9" spans="1:6" x14ac:dyDescent="0.25">
      <c r="A9" t="s">
        <v>45</v>
      </c>
      <c r="B9" s="18">
        <f>B8*(1-Assumptions!B8)</f>
        <v>1078080958.7288861</v>
      </c>
      <c r="C9" s="18">
        <f>C8*(1-Assumptions!B8)</f>
        <v>1077438965.8017304</v>
      </c>
      <c r="D9" s="18">
        <f>D8*(1-Assumptions!B8)</f>
        <v>1076797355.178812</v>
      </c>
      <c r="E9" s="18">
        <f>E8*(1-Assumptions!B8)</f>
        <v>1076156126.6324701</v>
      </c>
      <c r="F9" s="18">
        <f>F8*(1-Assumptions!B8)</f>
        <v>1075515279.9351797</v>
      </c>
    </row>
    <row r="10" spans="1:6" x14ac:dyDescent="0.25">
      <c r="A10" t="s">
        <v>46</v>
      </c>
      <c r="B10" s="18">
        <f>B6*Assumptions!B9</f>
        <v>572438581.1985301</v>
      </c>
      <c r="C10" s="18">
        <f>C6*Assumptions!B9</f>
        <v>572097696.2980177</v>
      </c>
      <c r="D10" s="18">
        <f>D6*Assumptions!B9</f>
        <v>571757014.3931092</v>
      </c>
      <c r="E10" s="18">
        <f>E6*Assumptions!B9</f>
        <v>571416535.3629215</v>
      </c>
      <c r="F10" s="18">
        <f>F6*Assumptions!B9</f>
        <v>571076259.0866432</v>
      </c>
    </row>
    <row r="11" spans="1:6" x14ac:dyDescent="0.25">
      <c r="A11" t="s">
        <v>47</v>
      </c>
      <c r="B11" s="18">
        <f>-B6*Assumptions!B10</f>
        <v>-724580069.5388333</v>
      </c>
      <c r="C11" s="18">
        <f>-C6*Assumptions!B10</f>
        <v>-724148584.9865503</v>
      </c>
      <c r="D11" s="18">
        <f>-D6*Assumptions!B10</f>
        <v>-723717357.3816038</v>
      </c>
      <c r="E11" s="18">
        <f>-E6*Assumptions!B10</f>
        <v>-723286386.5709826</v>
      </c>
      <c r="F11" s="18">
        <f>-F6*Assumptions!B10</f>
        <v>-722855672.4017667</v>
      </c>
    </row>
    <row r="12" spans="1:6" x14ac:dyDescent="0.25">
      <c r="A12" t="s">
        <v>48</v>
      </c>
      <c r="B12" s="18">
        <f>-(B6-Assumptions!B29)*Assumptions!B11</f>
        <v>690433.712678151</v>
      </c>
      <c r="C12" s="18">
        <f>-(C6-B6)*Assumptions!B11</f>
        <v>690022.5621458428</v>
      </c>
      <c r="D12" s="18">
        <f>-(D6-C6)*Assumptions!B11</f>
        <v>689611.656451921</v>
      </c>
      <c r="E12" s="18">
        <f>-(E6-D6)*Assumptions!B11</f>
        <v>689200.9954505748</v>
      </c>
      <c r="F12" s="18">
        <f>-(F6-E6)*Assumptions!B11</f>
        <v>688790.5789963534</v>
      </c>
    </row>
    <row r="13" spans="1:6" x14ac:dyDescent="0.25">
      <c r="A13" s="19" t="s">
        <v>49</v>
      </c>
      <c r="B13" s="20">
        <f>B9+B10+B11+B12</f>
        <v>926629904.1012613</v>
      </c>
      <c r="C13" s="20">
        <f>C9+C10+C11+C12</f>
        <v>926078099.6753436</v>
      </c>
      <c r="D13" s="20">
        <f>D9+D10+D11+D12</f>
        <v>925526623.8467695</v>
      </c>
      <c r="E13" s="20">
        <f>E9+E10+E11+E12</f>
        <v>924975476.4198596</v>
      </c>
      <c r="F13" s="20">
        <f>F9+F10+F11+F12</f>
        <v>924424657.1990526</v>
      </c>
    </row>
    <row r="14" spans="1:6" x14ac:dyDescent="0.25">
      <c r="A14" t="s">
        <v>50</v>
      </c>
      <c r="B14" s="21">
        <f>1/(1+Assumptions!$B$26)^(1-0.5*Assumptions!$B$32)</f>
        <v>0.953893615567384</v>
      </c>
      <c r="C14" s="21">
        <f>1/(1+Assumptions!$B$26)^(2-0.5*Assumptions!$B$32)</f>
        <v>0.8679602298670785</v>
      </c>
      <c r="D14" s="21">
        <f>1/(1+Assumptions!$B$26)^(3-0.5*Assumptions!$B$32)</f>
        <v>0.7897683225218045</v>
      </c>
      <c r="E14" s="21">
        <f>1/(1+Assumptions!$B$26)^(4-0.5*Assumptions!$B$32)</f>
        <v>0.7186204872018447</v>
      </c>
      <c r="F14" s="21">
        <f>1/(1+Assumptions!$B$26)^(5-0.5*Assumptions!$B$32)</f>
        <v>0.6538821448007103</v>
      </c>
    </row>
    <row r="15" spans="1:6" x14ac:dyDescent="0.25">
      <c r="A15" s="19" t="s">
        <v>51</v>
      </c>
      <c r="B15" s="20">
        <f>B13*B14</f>
        <v>883906349.5160104</v>
      </c>
      <c r="C15" s="20">
        <f>C13*C14</f>
        <v>803798960.2690785</v>
      </c>
      <c r="D15" s="20">
        <f>D13*D14</f>
        <v>730951609.1647322</v>
      </c>
      <c r="E15" s="20">
        <f>E13*E14</f>
        <v>664706327.5145979</v>
      </c>
      <c r="F15" s="20">
        <f>F13*F14</f>
        <v>604464777.5559778</v>
      </c>
    </row>
    <row r="17" spans="1:2" x14ac:dyDescent="0.25">
      <c r="A17" s="22" t="s">
        <v>52</v>
      </c>
      <c r="B17" s="23">
        <f>SUM(B15:F15)</f>
        <v>3687828024.020397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924424657.1990526</v>
      </c>
    </row>
    <row r="5" spans="1:2" x14ac:dyDescent="0.25">
      <c r="A5" t="s">
        <v>56</v>
      </c>
      <c r="B5" s="18">
        <f>IF(Assumptions!$B$33=0,B4,B4-Forecast!F11-Forecast!F10-Forecast!F12)</f>
        <v>1142819750.426821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0.25250961043653947</v>
      </c>
    </row>
    <row r="7" spans="1:2" x14ac:dyDescent="0.25">
      <c r="A7" t="s">
        <v>58</v>
      </c>
      <c r="B7" s="18">
        <f>-MAX(Forecast!F9,0)*B6</f>
        <v>-288572969.9794598</v>
      </c>
    </row>
    <row r="8" spans="1:2" x14ac:dyDescent="0.25">
      <c r="A8" t="s">
        <v>59</v>
      </c>
      <c r="B8" s="18">
        <f>IF(OR(Assumptions!$B$33=0,Assumptions!B12&lt;=0),B5,MAX(B5+B7,0))</f>
        <v>854246780.4473612</v>
      </c>
    </row>
    <row r="9" spans="1:2" x14ac:dyDescent="0.25">
      <c r="A9" t="s">
        <v>60</v>
      </c>
      <c r="B9" s="18">
        <f>B8*(1+Assumptions!B12)/(Assumptions!B26-Assumptions!B12)</f>
        <v>11831491769.157854</v>
      </c>
    </row>
    <row r="10" spans="1:2" x14ac:dyDescent="0.25">
      <c r="A10" t="s">
        <v>61</v>
      </c>
      <c r="B10" s="18">
        <f>B9/(1+Assumptions!B26)^(5-0.5*Assumptions!B32)</f>
        <v>7736401214.208888</v>
      </c>
    </row>
    <row r="11" spans="1:2" x14ac:dyDescent="0.25">
      <c r="A11" t="s">
        <v>62</v>
      </c>
      <c r="B11" s="18">
        <f>Forecast!B17+B10</f>
        <v>11424229238.229286</v>
      </c>
    </row>
    <row r="12" spans="1:2" x14ac:dyDescent="0.25">
      <c r="A12" t="s">
        <v>63</v>
      </c>
      <c r="B12" s="18">
        <f>-Assumptions!B30</f>
        <v>-5638000000</v>
      </c>
    </row>
    <row r="13" spans="1:2" x14ac:dyDescent="0.25">
      <c r="A13" t="s">
        <v>64</v>
      </c>
      <c r="B13" s="18">
        <f>B11+B12</f>
        <v>5786229238.229286</v>
      </c>
    </row>
    <row r="14" spans="1:2" x14ac:dyDescent="0.25">
      <c r="A14" s="19" t="s">
        <v>65</v>
      </c>
      <c r="B14" s="24">
        <f>B13/Assumptions!B31</f>
        <v>95.48233066384961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1922136692.5515964</v>
      </c>
    </row>
    <row r="18" spans="1:2" x14ac:dyDescent="0.25">
      <c r="A18" t="s">
        <v>60</v>
      </c>
      <c r="B18" s="18">
        <f>B17*Assumptions!B13</f>
        <v>37195872195.32497</v>
      </c>
    </row>
    <row r="19" spans="1:2" x14ac:dyDescent="0.25">
      <c r="A19" t="s">
        <v>61</v>
      </c>
      <c r="B19" s="18">
        <f>B18/(1+Assumptions!B26)^(5-0.5*Assumptions!B32)</f>
        <v>24321716688.81219</v>
      </c>
    </row>
    <row r="20" spans="1:2" x14ac:dyDescent="0.25">
      <c r="A20" t="s">
        <v>62</v>
      </c>
      <c r="B20" s="18">
        <f>Forecast!B17+B19</f>
        <v>28009544712.83259</v>
      </c>
    </row>
    <row r="21" spans="1:2" x14ac:dyDescent="0.25">
      <c r="A21" t="s">
        <v>63</v>
      </c>
      <c r="B21" s="18">
        <f>-Assumptions!B30</f>
        <v>-5638000000</v>
      </c>
    </row>
    <row r="22" spans="1:2" x14ac:dyDescent="0.25">
      <c r="A22" t="s">
        <v>64</v>
      </c>
      <c r="B22" s="18">
        <f>B20+B21</f>
        <v>22371544712.83259</v>
      </c>
    </row>
    <row r="23" spans="1:2" x14ac:dyDescent="0.25">
      <c r="A23" s="19" t="s">
        <v>65</v>
      </c>
      <c r="B23" s="25">
        <f>B22/Assumptions!B31</f>
        <v>369.16740450218794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490.64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95.48233066384961</v>
      </c>
    </row>
    <row r="29" spans="1:2" x14ac:dyDescent="0.25">
      <c r="A29" s="19" t="s">
        <v>73</v>
      </c>
      <c r="B29" s="12">
        <f>B28/B26-1</f>
        <v>-0.805392282194991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0.079006</v>
      </c>
      <c r="B5" s="31">
        <v>142.54779376033846</v>
      </c>
      <c r="C5" s="31">
        <v>143.39542640572986</v>
      </c>
      <c r="D5" s="31">
        <v>144.24305905112118</v>
      </c>
      <c r="E5" s="31">
        <v>145.09069169651252</v>
      </c>
      <c r="F5" s="31">
        <v>145.9383243419039</v>
      </c>
    </row>
    <row r="6" spans="1:6" x14ac:dyDescent="0.25">
      <c r="A6" s="30">
        <v>0.089006</v>
      </c>
      <c r="B6" s="31">
        <v>115.64947038914835</v>
      </c>
      <c r="C6" s="31">
        <v>116.37127492534228</v>
      </c>
      <c r="D6" s="31">
        <v>117.09307946153612</v>
      </c>
      <c r="E6" s="31">
        <v>117.81488399773009</v>
      </c>
      <c r="F6" s="31">
        <v>118.53668853392399</v>
      </c>
    </row>
    <row r="7" spans="1:6" x14ac:dyDescent="0.25">
      <c r="A7" s="30">
        <v>0.099006</v>
      </c>
      <c r="B7" s="31">
        <v>94.23708932967246</v>
      </c>
      <c r="C7" s="31">
        <v>94.85983872897825</v>
      </c>
      <c r="D7" s="32">
        <v>95.48258812828406</v>
      </c>
      <c r="E7" s="31">
        <v>96.10533752758982</v>
      </c>
      <c r="F7" s="31">
        <v>96.72808692689561</v>
      </c>
    </row>
    <row r="8" spans="1:6" x14ac:dyDescent="0.25">
      <c r="A8" s="30">
        <v>0.109006</v>
      </c>
      <c r="B8" s="31">
        <v>76.79796426778589</v>
      </c>
      <c r="C8" s="31">
        <v>77.34099221707744</v>
      </c>
      <c r="D8" s="31">
        <v>77.8840201663689</v>
      </c>
      <c r="E8" s="31">
        <v>78.42704811566041</v>
      </c>
      <c r="F8" s="31">
        <v>78.97007606495193</v>
      </c>
    </row>
    <row r="9" spans="1:6" x14ac:dyDescent="0.25">
      <c r="A9" s="30">
        <v>0.119006</v>
      </c>
      <c r="B9" s="31">
        <v>62.328024872227914</v>
      </c>
      <c r="C9" s="31">
        <v>62.80573053684039</v>
      </c>
      <c r="D9" s="31">
        <v>63.283436201452815</v>
      </c>
      <c r="E9" s="31">
        <v>63.7611418660653</v>
      </c>
      <c r="F9" s="31">
        <v>64.23884753067772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6150000000</v>
      </c>
      <c r="C5" s="18">
        <v>5662000000</v>
      </c>
      <c r="D5" s="18">
        <v>5851000000</v>
      </c>
      <c r="E5" s="18">
        <v>6161000000</v>
      </c>
      <c r="F5" s="8" t="s">
        <v>84</v>
      </c>
    </row>
    <row r="6" spans="1:6" x14ac:dyDescent="0.25">
      <c r="A6" t="s">
        <v>44</v>
      </c>
      <c r="B6" s="18">
        <v>1455000000</v>
      </c>
      <c r="C6" s="18">
        <v>1251000000</v>
      </c>
      <c r="D6" s="18">
        <v>1325000000</v>
      </c>
      <c r="E6" s="18">
        <v>1216000000</v>
      </c>
      <c r="F6" s="8" t="s">
        <v>85</v>
      </c>
    </row>
    <row r="7" spans="1:6" x14ac:dyDescent="0.25">
      <c r="A7" t="s">
        <v>86</v>
      </c>
      <c r="B7" s="18">
        <v>637000000</v>
      </c>
      <c r="C7" s="18">
        <v>573000000</v>
      </c>
      <c r="D7" s="18">
        <v>507300000</v>
      </c>
      <c r="E7" s="18">
        <v>499400000</v>
      </c>
      <c r="F7" s="8" t="s">
        <v>87</v>
      </c>
    </row>
    <row r="8" spans="1:6" x14ac:dyDescent="0.25">
      <c r="A8" t="s">
        <v>88</v>
      </c>
      <c r="B8" s="18">
        <v>807000000</v>
      </c>
      <c r="C8" s="18">
        <v>855000000</v>
      </c>
      <c r="D8" s="18">
        <v>650000000</v>
      </c>
      <c r="E8" s="18">
        <v>482000000</v>
      </c>
      <c r="F8" s="8" t="s">
        <v>89</v>
      </c>
    </row>
    <row r="9" spans="1:6" x14ac:dyDescent="0.25">
      <c r="A9" t="s">
        <v>90</v>
      </c>
      <c r="B9" s="18">
        <v>92000000</v>
      </c>
      <c r="C9" s="18">
        <v>-211000000</v>
      </c>
      <c r="D9" s="18">
        <v>151000000</v>
      </c>
      <c r="E9" s="18">
        <v>216000000</v>
      </c>
      <c r="F9" s="8" t="s">
        <v>91</v>
      </c>
    </row>
    <row r="10" spans="1:6" x14ac:dyDescent="0.25">
      <c r="A10" t="s">
        <v>92</v>
      </c>
      <c r="B10" s="18">
        <v>5705000000</v>
      </c>
      <c r="C10" s="18">
        <v>5795000000</v>
      </c>
      <c r="D10" s="18">
        <v>4726000000</v>
      </c>
      <c r="E10" s="18">
        <v>5428000000</v>
      </c>
      <c r="F10" s="8" t="s">
        <v>93</v>
      </c>
    </row>
    <row r="11" spans="1:6" x14ac:dyDescent="0.25">
      <c r="A11" t="s">
        <v>94</v>
      </c>
      <c r="B11" s="18">
        <v>67000000</v>
      </c>
      <c r="C11" s="18">
        <v>670000000</v>
      </c>
      <c r="D11" s="18">
        <v>1272000000</v>
      </c>
      <c r="E11" s="18">
        <v>358000000</v>
      </c>
      <c r="F11" s="8" t="s">
        <v>95</v>
      </c>
    </row>
    <row r="12" spans="1:6" x14ac:dyDescent="0.25">
      <c r="A12" t="s">
        <v>32</v>
      </c>
      <c r="B12" s="34">
        <v>60600000</v>
      </c>
      <c r="C12" s="34">
        <v>61600000</v>
      </c>
      <c r="D12" s="34">
        <v>62100000</v>
      </c>
      <c r="E12" s="34">
        <v>62500000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2026-09-19T00:06:11Z</dcterms:modified>
</cp:coreProperties>
</file>