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<sst xmlns="http://schemas.openxmlformats.org/spreadsheetml/2006/main" count="119" uniqueCount="106">
  <si>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3M Company (MMM)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</si>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</sst>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0.019652446288279668</v>
      </c>
    </row>
    <row r="7" spans="1:2" x14ac:dyDescent="0.25">
      <c r="A7" t="s">
        <v>4</v>
      </c>
      <c r="B7" s="5">
        <v>0.006423860755222437</v>
      </c>
    </row>
    <row r="8" spans="1:2" x14ac:dyDescent="0.25">
      <c r="A8" t="s">
        <v>5</v>
      </c>
      <c r="B8" s="5">
        <v>0.1668395932766134</v>
      </c>
    </row>
    <row r="9" spans="1:2" x14ac:dyDescent="0.25">
      <c r="A9" t="s">
        <v>6</v>
      </c>
      <c r="B9" s="5">
        <v>0.06465528431635023</v>
      </c>
    </row>
    <row r="10" spans="1:3" x14ac:dyDescent="0.25">
      <c r="A10" t="s">
        <v>7</v>
      </c>
      <c r="B10" s="5">
        <v>0.0542529527501672</v>
      </c>
      <c r="C10" s="6" t="s">
        <v>8</v>
      </c>
    </row>
    <row r="11" spans="1:2" x14ac:dyDescent="0.25">
      <c r="A11" t="s">
        <v>9</v>
      </c>
      <c r="B11" s="5">
        <v>0.18691876421119277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16.175316777176587</v>
      </c>
    </row>
    <row r="14" spans="1:3" x14ac:dyDescent="0.25">
      <c r="A14" t="s">
        <v>12</v>
      </c>
      <c r="B14" s="5">
        <v>0.2306791209322553</v>
      </c>
      <c r="C14" s="6" t="s">
        <v>13</v>
      </c>
    </row>
    <row r="15" spans="1:3" x14ac:dyDescent="0.25">
      <c r="A15" t="s">
        <v>14</v>
      </c>
      <c r="B15" s="5">
        <v>0.06465528431635023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1.04288</v>
      </c>
      <c r="C19" s="6" t="s">
        <v>21</v>
      </c>
    </row>
    <row r="20" spans="1:2" x14ac:dyDescent="0.25">
      <c r="A20" t="s">
        <v>22</v>
      </c>
      <c r="B20" s="9">
        <f>B17+B19*B18</f>
        <v>0.09305382400000001</v>
      </c>
    </row>
    <row r="21" spans="1:3" x14ac:dyDescent="0.25">
      <c r="A21" t="s">
        <v>23</v>
      </c>
      <c r="B21" s="5">
        <v>0.07377368790454651</v>
      </c>
      <c r="C21" s="6" t="s">
        <v>24</v>
      </c>
    </row>
    <row r="22" spans="1:2" x14ac:dyDescent="0.25">
      <c r="A22" t="s">
        <v>25</v>
      </c>
      <c r="B22" s="10">
        <v>91984257024</v>
      </c>
    </row>
    <row r="23" spans="1:2" x14ac:dyDescent="0.25">
      <c r="A23" t="s">
        <v>26</v>
      </c>
      <c r="B23" s="10">
        <v>12602000000</v>
      </c>
    </row>
    <row r="24" spans="1:2" x14ac:dyDescent="0.25">
      <c r="A24" t="s">
        <v>27</v>
      </c>
      <c r="B24" s="9">
        <f>B22/(B22+B23)</f>
        <v>0.87950615732325</v>
      </c>
    </row>
    <row r="25" spans="1:2" x14ac:dyDescent="0.25">
      <c r="A25" t="s">
        <v>28</v>
      </c>
      <c r="B25" s="9">
        <f>1-B24</f>
        <v>0.12049384267675001</v>
      </c>
    </row>
    <row r="26" spans="1:2" x14ac:dyDescent="0.25">
      <c r="A26" t="s">
        <v>29</v>
      </c>
      <c r="B26" s="11">
        <f>B24*B20+B25*B21*(1-B8)</f>
        <v>0.08924760326497022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24948000000</v>
      </c>
      <c r="C29" s="6" t="s">
        <v>32</v>
      </c>
    </row>
    <row r="30" spans="1:2" x14ac:dyDescent="0.25">
      <c r="A30" t="s">
        <v>33</v>
      </c>
      <c r="B30" s="10">
        <v>6669000000</v>
      </c>
    </row>
    <row r="31" spans="1:2" x14ac:dyDescent="0.25">
      <c r="A31" t="s">
        <v>34</v>
      </c>
      <c r="B31" s="12">
        <v>541300000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0.019652446288279668</v>
      </c>
      <c r="C5" s="5">
        <v>0.04614214263338656</v>
      </c>
      <c r="D5" s="5">
        <v>0.043499374804213245</v>
      </c>
      <c r="E5" s="5">
        <v>0.04085660697503992</v>
      </c>
      <c r="F5" s="5">
        <v>0.0382138391458666</v>
      </c>
      <c r="G5" s="5">
        <v>0.03557107131669328</v>
      </c>
      <c r="H5" s="5">
        <v>0.03292830348751996</v>
      </c>
      <c r="I5" s="5">
        <v>0.030285535658346643</v>
      </c>
      <c r="J5" s="5">
        <v>0.027642767829173322</v>
      </c>
      <c r="K5" s="5">
        <v>0.025</v>
      </c>
    </row>
    <row r="6" spans="1:11" x14ac:dyDescent="0.25">
      <c r="A6" t="s">
        <v>50</v>
      </c>
      <c r="B6" s="18">
        <f>Assumptions!B29*(1+B5)</f>
        <v>25438289230</v>
      </c>
      <c r="C6" s="18">
        <f>B6*(1+C5)</f>
        <v>26612066400</v>
      </c>
      <c r="D6" s="18">
        <f>C6*(1+D5)</f>
        <v>27769674650.64821</v>
      </c>
      <c r="E6" s="18">
        <f>D6*(1+E5)</f>
        <v>28904249333.674473</v>
      </c>
      <c r="F6" s="18">
        <f>E6*(1+F5)</f>
        <v>30008791668.343533</v>
      </c>
      <c r="G6" s="18">
        <f>F6*(1+G5)</f>
        <v>31076236536.90597</v>
      </c>
      <c r="H6" s="18">
        <f>G6*(1+H5)</f>
        <v>32099524284.84317</v>
      </c>
      <c r="I6" s="18">
        <f>H6*(1+I5)</f>
        <v>33071675572.18775</v>
      </c>
      <c r="J6" s="18">
        <f>I6*(1+J5)</f>
        <v>33985868221.75148</v>
      </c>
      <c r="K6" s="18">
        <f>J6*(1+K5)</f>
        <v>34835514927.295265</v>
      </c>
    </row>
    <row r="7" spans="1:11" x14ac:dyDescent="0.25">
      <c r="A7" t="s">
        <v>4</v>
      </c>
      <c r="B7" s="9">
        <f>Assumptions!B7</f>
        <v>0.006423860755222437</v>
      </c>
      <c r="C7" s="9">
        <f>Assumptions!B7</f>
        <v>0.006423860755222437</v>
      </c>
      <c r="D7" s="9">
        <f>Assumptions!B7</f>
        <v>0.006423860755222437</v>
      </c>
      <c r="E7" s="9">
        <f>Assumptions!B7</f>
        <v>0.006423860755222437</v>
      </c>
      <c r="F7" s="9">
        <f>Assumptions!B7</f>
        <v>0.006423860755222437</v>
      </c>
      <c r="G7" s="9">
        <f>Assumptions!B7</f>
        <v>0.006423860755222437</v>
      </c>
      <c r="H7" s="9">
        <f>Assumptions!B7</f>
        <v>0.006423860755222437</v>
      </c>
      <c r="I7" s="9">
        <f>Assumptions!B7</f>
        <v>0.006423860755222437</v>
      </c>
      <c r="J7" s="9">
        <f>Assumptions!B7</f>
        <v>0.006423860755222437</v>
      </c>
      <c r="K7" s="9">
        <f>Assumptions!B7</f>
        <v>0.006423860755222437</v>
      </c>
    </row>
    <row r="8" spans="1:11" x14ac:dyDescent="0.25">
      <c r="A8" t="s">
        <v>51</v>
      </c>
      <c r="B8" s="18">
        <f>B6*B7</f>
        <v>163412027.86459458</v>
      </c>
      <c r="C8" s="18">
        <f>C6*C7</f>
        <v>170952208.96233362</v>
      </c>
      <c r="D8" s="18">
        <f>D6*D7</f>
        <v>178388523.17359436</v>
      </c>
      <c r="E8" s="18">
        <f>E6*E7</f>
        <v>185676872.9537557</v>
      </c>
      <c r="F8" s="18">
        <f>F6*F7</f>
        <v>192772299.10991806</v>
      </c>
      <c r="G8" s="18">
        <f>G6*G7</f>
        <v>199629416.30943987</v>
      </c>
      <c r="H8" s="18">
        <f>H6*H7</f>
        <v>206202874.3147136</v>
      </c>
      <c r="I8" s="18">
        <f>I6*I7</f>
        <v>212447838.81762543</v>
      </c>
      <c r="J8" s="18">
        <f>J6*J7</f>
        <v>218320485.1018707</v>
      </c>
      <c r="K8" s="18">
        <f>K6*K7</f>
        <v>223778497.2294174</v>
      </c>
    </row>
    <row r="9" spans="1:11" x14ac:dyDescent="0.25">
      <c r="A9" t="s">
        <v>52</v>
      </c>
      <c r="B9" s="18">
        <f>B8*(1-Assumptions!B8)</f>
        <v>136148431.599159</v>
      </c>
      <c r="C9" s="18">
        <f>C8*(1-Assumptions!B8)</f>
        <v>142430611.94931927</v>
      </c>
      <c r="D9" s="18">
        <f>D8*(1-Assumptions!B8)</f>
        <v>148626254.52209616</v>
      </c>
      <c r="E9" s="18">
        <f>E8*(1-Assumptions!B8)</f>
        <v>154698618.9892777</v>
      </c>
      <c r="F9" s="18">
        <f>F8*(1-Assumptions!B8)</f>
        <v>160610247.1314217</v>
      </c>
      <c r="G9" s="18">
        <f>G8*(1-Assumptions!B8)</f>
        <v>166323325.6863252</v>
      </c>
      <c r="H9" s="18">
        <f>H8*(1-Assumptions!B8)</f>
        <v>171800070.63157815</v>
      </c>
      <c r="I9" s="18">
        <f>I8*(1-Assumptions!B8)</f>
        <v>177003127.7967973</v>
      </c>
      <c r="J9" s="18">
        <f>J8*(1-Assumptions!B8)</f>
        <v>181895984.16352165</v>
      </c>
      <c r="K9" s="18">
        <f>K8*(1-Assumptions!B8)</f>
        <v>186443383.76760966</v>
      </c>
    </row>
    <row r="10" spans="1:11" x14ac:dyDescent="0.25">
      <c r="A10" t="s">
        <v>53</v>
      </c>
      <c r="B10" s="18">
        <f>B6*Assumptions!B9</f>
        <v>1644719822.6872</v>
      </c>
      <c r="C10" s="18">
        <f>C6*Assumptions!B9</f>
        <v>1720610719.337591</v>
      </c>
      <c r="D10" s="18">
        <f>D6*Assumptions!B9</f>
        <v>1795456209.9102037</v>
      </c>
      <c r="E10" s="18">
        <f>E6*Assumptions!B9</f>
        <v>1868812458.6193998</v>
      </c>
      <c r="F10" s="18">
        <f>F6*Assumptions!B9</f>
        <v>1940226957.306873</v>
      </c>
      <c r="G10" s="18">
        <f>G6*Assumptions!B9</f>
        <v>2009242908.7758067</v>
      </c>
      <c r="H10" s="18">
        <f>H6*Assumptions!B9</f>
        <v>2075403869.056124</v>
      </c>
      <c r="I10" s="18">
        <f>I6*Assumptions!B9</f>
        <v>2138258586.9378939</v>
      </c>
      <c r="J10" s="18">
        <f>J6*Assumptions!B9</f>
        <v>2197365972.615354</v>
      </c>
      <c r="K10" s="18">
        <f>K6*Assumptions!B9</f>
        <v>2252300121.930738</v>
      </c>
    </row>
    <row r="11" spans="1:11" x14ac:dyDescent="0.25">
      <c r="A11" t="s">
        <v>54</v>
      </c>
      <c r="B11" s="18">
        <f>-B6*B19</f>
        <v>-1380102303.6402771</v>
      </c>
      <c r="C11" s="18">
        <f>-C6*C19</f>
        <v>-1476256908.6175363</v>
      </c>
      <c r="D11" s="18">
        <f>-D6*D19</f>
        <v>-1574359475.6764665</v>
      </c>
      <c r="E11" s="18">
        <f>-E6*E19</f>
        <v>-1673953256.3279684</v>
      </c>
      <c r="F11" s="18">
        <f>-F6*F19</f>
        <v>-1774540063.579896</v>
      </c>
      <c r="G11" s="18">
        <f>-G6*G19</f>
        <v>-1875583545.2973375</v>
      </c>
      <c r="H11" s="18">
        <f>-H6*H19</f>
        <v>-1976513200.5260162</v>
      </c>
      <c r="I11" s="18">
        <f>-I6*I19</f>
        <v>-2076729113.0985696</v>
      </c>
      <c r="J11" s="18">
        <f>-J6*J19</f>
        <v>-2175607361.1028876</v>
      </c>
      <c r="K11" s="18">
        <f>-K6*K19</f>
        <v>-2272506045.0994806</v>
      </c>
    </row>
    <row r="12" spans="1:11" x14ac:dyDescent="0.25">
      <c r="A12" t="s">
        <v>55</v>
      </c>
      <c r="B12" s="18">
        <f>-(B6-Assumptions!B29)*Assumptions!B11</f>
        <v>-91644256.97765726</v>
      </c>
      <c r="C12" s="18">
        <f>-(C6-B6)*Assumptions!B11</f>
        <v>-219400978.07571113</v>
      </c>
      <c r="D12" s="18">
        <f>-(D6-C6)*Assumptions!B11</f>
        <v>-216378703.65184385</v>
      </c>
      <c r="E12" s="18">
        <f>-(E6-D6)*Assumptions!B11</f>
        <v>-212073297.65657505</v>
      </c>
      <c r="F12" s="18">
        <f>-(F6-E6)*Assumptions!B11</f>
        <v>-206459688.21528634</v>
      </c>
      <c r="G12" s="18">
        <f>-(G6-F6)*Assumptions!B11</f>
        <v>-199525475.69527018</v>
      </c>
      <c r="H12" s="18">
        <f>-(H6-G6)*Assumptions!B11</f>
        <v>-191271681.2768757</v>
      </c>
      <c r="I12" s="18">
        <f>-(I6-H6)*Assumptions!B11</f>
        <v>-181713317.25676936</v>
      </c>
      <c r="J12" s="18">
        <f>-(J6-I6)*Assumptions!B11</f>
        <v>-170879760.30740812</v>
      </c>
      <c r="K12" s="18">
        <f>-(K6-J6)*Assumptions!B11</f>
        <v>-158814912.2163555</v>
      </c>
    </row>
    <row r="13" spans="1:11" x14ac:dyDescent="0.25">
      <c r="A13" s="19" t="s">
        <v>56</v>
      </c>
      <c r="B13" s="20">
        <f>B9+B10+B11+B12</f>
        <v>309121693.66842467</v>
      </c>
      <c r="C13" s="20">
        <f>C9+C10+C11+C12</f>
        <v>167383444.59366286</v>
      </c>
      <c r="D13" s="20">
        <f>D9+D10+D11+D12</f>
        <v>153344285.10398954</v>
      </c>
      <c r="E13" s="20">
        <f>E9+E10+E11+E12</f>
        <v>137484523.62413397</v>
      </c>
      <c r="F13" s="20">
        <f>F9+F10+F11+F12</f>
        <v>119837452.64311257</v>
      </c>
      <c r="G13" s="20">
        <f>G9+G10+G11+G12</f>
        <v>100457213.46952426</v>
      </c>
      <c r="H13" s="20">
        <f>H9+H10+H11+H12</f>
        <v>79419057.88481024</v>
      </c>
      <c r="I13" s="20">
        <f>I9+I10+I11+I12</f>
        <v>56819284.37935215</v>
      </c>
      <c r="J13" s="20">
        <f>J9+J10+J11+J12</f>
        <v>32774835.368580073</v>
      </c>
      <c r="K13" s="20">
        <f>K9+K10+K11+K12</f>
        <v>7422548.382511437</v>
      </c>
    </row>
    <row r="14" spans="1:11" x14ac:dyDescent="0.25">
      <c r="A14" t="s">
        <v>57</v>
      </c>
      <c r="B14" s="21">
        <f>1/(1+Assumptions!$B$26)^(1-0.5*Assumptions!$B$32)</f>
        <v>0.9581570369073619</v>
      </c>
      <c r="C14" s="21">
        <f>1/(1+Assumptions!$B$26)^(2-0.5*Assumptions!$B$32)</f>
        <v>0.8796503513391535</v>
      </c>
      <c r="D14" s="21">
        <f>1/(1+Assumptions!$B$26)^(3-0.5*Assumptions!$B$32)</f>
        <v>0.8075761183246504</v>
      </c>
      <c r="E14" s="21">
        <f>1/(1+Assumptions!$B$26)^(4-0.5*Assumptions!$B$32)</f>
        <v>0.7414072942680595</v>
      </c>
      <c r="F14" s="21">
        <f>1/(1+Assumptions!$B$26)^(5-0.5*Assumptions!$B$32)</f>
        <v>0.6806600189394264</v>
      </c>
      <c r="G14" s="21">
        <f>1/(1+Assumptions!$B$26)^(6-0.5*Assumptions!$B$32)</f>
        <v>0.6248900772415555</v>
      </c>
      <c r="H14" s="21">
        <f>1/(1+Assumptions!$B$26)^(7-0.5*Assumptions!$B$32)</f>
        <v>0.573689650882385</v>
      </c>
      <c r="I14" s="21">
        <f>1/(1+Assumptions!$B$26)^(8-0.5*Assumptions!$B$32)</f>
        <v>0.5266843361993878</v>
      </c>
      <c r="J14" s="21">
        <f>1/(1+Assumptions!$B$26)^(9-0.5*Assumptions!$B$32)</f>
        <v>0.4835304063288048</v>
      </c>
      <c r="K14" s="21">
        <f>1/(1+Assumptions!$B$26)^(10-0.5*Assumptions!$B$32)</f>
        <v>0.44391229769929663</v>
      </c>
    </row>
    <row r="15" spans="1:11" x14ac:dyDescent="0.25">
      <c r="A15" s="19" t="s">
        <v>58</v>
      </c>
      <c r="B15" s="20">
        <f>B13*B14</f>
        <v>296187126.049123</v>
      </c>
      <c r="C15" s="20">
        <f>C13*C14</f>
        <v>147238905.84517327</v>
      </c>
      <c r="D15" s="20">
        <f>D13*D14</f>
        <v>123837182.53154838</v>
      </c>
      <c r="E15" s="20">
        <f>E13*E14</f>
        <v>101932028.66390228</v>
      </c>
      <c r="F15" s="20">
        <f>F13*F14</f>
        <v>81568562.78571361</v>
      </c>
      <c r="G15" s="20">
        <f>G13*G14</f>
        <v>62774715.88444245</v>
      </c>
      <c r="H15" s="20">
        <f>H13*H14</f>
        <v>45561891.591344714</v>
      </c>
      <c r="I15" s="20">
        <f>I13*I14</f>
        <v>29925827.076663334</v>
      </c>
      <c r="J15" s="20">
        <f>J13*J14</f>
        <v>15847629.463129206</v>
      </c>
      <c r="K15" s="20">
        <f>K13*K14</f>
        <v>3294960.5072648497</v>
      </c>
    </row>
    <row r="17" spans="1:2" x14ac:dyDescent="0.25">
      <c r="A17" s="22" t="s">
        <v>59</v>
      </c>
      <c r="B17" s="23">
        <f>SUM(B15:K15)</f>
        <v>908168830.3983052</v>
      </c>
    </row>
    <row r="19" spans="1:11" x14ac:dyDescent="0.25">
      <c r="A19" t="s">
        <v>7</v>
      </c>
      <c r="B19" s="9">
        <f>Assumptions!$B$10+($B$20-Assumptions!$B$10)*0/9</f>
        <v>0.0542529527501672</v>
      </c>
      <c r="C19" s="9">
        <f>Assumptions!$B$10+($B$20-Assumptions!$B$10)*1/9</f>
        <v>0.05547321603772702</v>
      </c>
      <c r="D19" s="9">
        <f>Assumptions!$B$10+($B$20-Assumptions!$B$10)*2/9</f>
        <v>0.05669347932528685</v>
      </c>
      <c r="E19" s="9">
        <f>Assumptions!$B$10+($B$20-Assumptions!$B$10)*3/9</f>
        <v>0.05791374261284667</v>
      </c>
      <c r="F19" s="9">
        <f>Assumptions!$B$10+($B$20-Assumptions!$B$10)*4/9</f>
        <v>0.0591340059004065</v>
      </c>
      <c r="G19" s="9">
        <f>Assumptions!$B$10+($B$20-Assumptions!$B$10)*5/9</f>
        <v>0.060354269187966325</v>
      </c>
      <c r="H19" s="9">
        <f>Assumptions!$B$10+($B$20-Assumptions!$B$10)*6/9</f>
        <v>0.061574532475526154</v>
      </c>
      <c r="I19" s="9">
        <f>Assumptions!$B$10+($B$20-Assumptions!$B$10)*7/9</f>
        <v>0.06279479576308598</v>
      </c>
      <c r="J19" s="9">
        <f>Assumptions!$B$10+($B$20-Assumptions!$B$10)*8/9</f>
        <v>0.0640150590506458</v>
      </c>
      <c r="K19" s="9">
        <f>Assumptions!$B$10+($B$20-Assumptions!$B$10)*9/9</f>
        <v>0.06523532233820563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0.06523532233820563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7422548.382511437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186443383.76760966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0.10837565141988675</v>
      </c>
    </row>
    <row r="7" spans="1:2" x14ac:dyDescent="0.25">
      <c r="A7" t="s">
        <v>66</v>
      </c>
      <c r="B7" s="18">
        <f>-MAX(B5,0)*B6</f>
        <v>-20205923.168742638</v>
      </c>
    </row>
    <row r="8" spans="1:2" x14ac:dyDescent="0.25">
      <c r="A8" t="s">
        <v>67</v>
      </c>
      <c r="B8" s="18">
        <f>IF(OR(Assumptions!$B$33=0,Assumptions!B12&lt;=0),B5,MAX(B5+B7,0))</f>
        <v>166237460.59886703</v>
      </c>
    </row>
    <row r="9" spans="1:2" x14ac:dyDescent="0.25">
      <c r="A9" t="s">
        <v>68</v>
      </c>
      <c r="B9" s="18">
        <f>B8*(1+Assumptions!B12)/(Assumptions!B26-Assumptions!B12)</f>
        <v>2652136242.5163403</v>
      </c>
    </row>
    <row r="10" spans="1:2" x14ac:dyDescent="0.25">
      <c r="A10" t="s">
        <v>69</v>
      </c>
      <c r="B10" s="18">
        <f>B9/(1+Assumptions!B26)^(10-0.5*Assumptions!B32)</f>
        <v>1177315893.2270076</v>
      </c>
    </row>
    <row r="11" spans="1:2" x14ac:dyDescent="0.25">
      <c r="A11" t="s">
        <v>70</v>
      </c>
      <c r="B11" s="18">
        <f>Forecast!B17+B10</f>
        <v>2085484723.6253128</v>
      </c>
    </row>
    <row r="12" spans="1:2" x14ac:dyDescent="0.25">
      <c r="A12" t="s">
        <v>71</v>
      </c>
      <c r="B12" s="18">
        <f>-Assumptions!B30</f>
        <v>-6669000000</v>
      </c>
    </row>
    <row r="13" spans="1:2" x14ac:dyDescent="0.25">
      <c r="A13" t="s">
        <v>72</v>
      </c>
      <c r="B13" s="18">
        <f>B11+B12</f>
        <v>-4583515276.374687</v>
      </c>
    </row>
    <row r="14" spans="1:2" x14ac:dyDescent="0.25">
      <c r="A14" s="19" t="s">
        <v>73</v>
      </c>
      <c r="B14" s="24">
        <f>B13/Assumptions!B31</f>
        <v>-8.46760627447753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2476078619.1601553</v>
      </c>
    </row>
    <row r="18" spans="1:2" x14ac:dyDescent="0.25">
      <c r="A18" t="s">
        <v>68</v>
      </c>
      <c r="B18" s="18">
        <f>B17*Assumptions!B13</f>
        <v>40051356030.1095</v>
      </c>
    </row>
    <row r="19" spans="1:2" x14ac:dyDescent="0.25">
      <c r="A19" t="s">
        <v>69</v>
      </c>
      <c r="B19" s="18">
        <f>B18/(1+Assumptions!B26)^(10-0.5*Assumptions!B32)</f>
        <v>17779289481.298485</v>
      </c>
    </row>
    <row r="20" spans="1:2" x14ac:dyDescent="0.25">
      <c r="A20" t="s">
        <v>70</v>
      </c>
      <c r="B20" s="18">
        <f>Forecast!B17+B19</f>
        <v>18687458311.69679</v>
      </c>
    </row>
    <row r="21" spans="1:2" x14ac:dyDescent="0.25">
      <c r="A21" t="s">
        <v>71</v>
      </c>
      <c r="B21" s="18">
        <f>-Assumptions!B30</f>
        <v>-6669000000</v>
      </c>
    </row>
    <row r="22" spans="1:2" x14ac:dyDescent="0.25">
      <c r="A22" t="s">
        <v>72</v>
      </c>
      <c r="B22" s="18">
        <f>B20+B21</f>
        <v>12018458311.696789</v>
      </c>
    </row>
    <row r="23" spans="1:2" x14ac:dyDescent="0.25">
      <c r="A23" s="19" t="s">
        <v>73</v>
      </c>
      <c r="B23" s="25">
        <f>B22/Assumptions!B31</f>
        <v>22.20295272805614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178.36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-8.46760627447753</v>
      </c>
    </row>
    <row r="29" spans="1:2" x14ac:dyDescent="0.25">
      <c r="A29" s="19" t="s">
        <v>81</v>
      </c>
      <c r="B29" s="11">
        <f>B28/B26-1</f>
        <v>-1.0474748053065572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0.069248</v>
      </c>
      <c r="B5" s="31">
        <v>-7.322110487191422</v>
      </c>
      <c r="C5" s="31">
        <v>-7.084739631124527</v>
      </c>
      <c r="D5" s="31">
        <v>-6.789662218872524</v>
      </c>
      <c r="E5" s="31">
        <v>-6.41482366567245</v>
      </c>
      <c r="F5" s="31">
        <v>-5.9252900450403905</v>
      </c>
    </row>
    <row r="6" spans="1:6" x14ac:dyDescent="0.25">
      <c r="A6" s="30">
        <v>0.079248</v>
      </c>
      <c r="B6" s="31">
        <v>-8.093749122989573</v>
      </c>
      <c r="C6" s="31">
        <v>-7.955421600758644</v>
      </c>
      <c r="D6" s="31">
        <v>-7.7884629730057</v>
      </c>
      <c r="E6" s="31">
        <v>-7.584152751937721</v>
      </c>
      <c r="F6" s="31">
        <v>-7.329828808199134</v>
      </c>
    </row>
    <row r="7" spans="1:6" x14ac:dyDescent="0.25">
      <c r="A7" s="30">
        <v>0.089248</v>
      </c>
      <c r="B7" s="31">
        <v>-8.649524972786613</v>
      </c>
      <c r="C7" s="31">
        <v>-8.566304731763518</v>
      </c>
      <c r="D7" s="32">
        <v>-8.467628868765685</v>
      </c>
      <c r="E7" s="31">
        <v>-8.349584436020674</v>
      </c>
      <c r="F7" s="31">
        <v>-8.206815871181346</v>
      </c>
    </row>
    <row r="8" spans="1:6" x14ac:dyDescent="0.25">
      <c r="A8" s="30">
        <v>0.099248</v>
      </c>
      <c r="B8" s="31">
        <v>-9.067223760733796</v>
      </c>
      <c r="C8" s="31">
        <v>-9.016701317845573</v>
      </c>
      <c r="D8" s="31">
        <v>-8.95732317502163</v>
      </c>
      <c r="E8" s="31">
        <v>-8.887171074708878</v>
      </c>
      <c r="F8" s="31">
        <v>-8.803729617792454</v>
      </c>
    </row>
    <row r="9" spans="1:6" x14ac:dyDescent="0.25">
      <c r="A9" s="30">
        <v>0.109248</v>
      </c>
      <c r="B9" s="31">
        <v>-9.391517924617835</v>
      </c>
      <c r="C9" s="31">
        <v>-9.361308086581023</v>
      </c>
      <c r="D9" s="31">
        <v>-9.32579884645517</v>
      </c>
      <c r="E9" s="31">
        <v>-9.283987137521416</v>
      </c>
      <c r="F9" s="31">
        <v>-9.234599699461395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24948000000</v>
      </c>
      <c r="C5" s="18">
        <v>24575000000</v>
      </c>
      <c r="D5" s="18">
        <v>24610000000</v>
      </c>
      <c r="E5" s="18">
        <v>26161000000</v>
      </c>
      <c r="F5" s="6" t="s">
        <v>91</v>
      </c>
    </row>
    <row r="6" spans="1:6" x14ac:dyDescent="0.25">
      <c r="A6" t="s">
        <v>51</v>
      </c>
      <c r="B6" s="18">
        <v>4791000000</v>
      </c>
      <c r="C6" s="18">
        <v>4822000000</v>
      </c>
      <c r="D6" s="18">
        <v>-10725000000</v>
      </c>
      <c r="E6" s="18">
        <v>1916000000</v>
      </c>
      <c r="F6" s="6" t="s">
        <v>92</v>
      </c>
    </row>
    <row r="7" spans="1:6" x14ac:dyDescent="0.25">
      <c r="A7" t="s">
        <v>93</v>
      </c>
      <c r="B7" s="18">
        <v>1308000000</v>
      </c>
      <c r="C7" s="18">
        <v>1363000000</v>
      </c>
      <c r="D7" s="18">
        <v>1987000000</v>
      </c>
      <c r="E7" s="18">
        <v>1831000000</v>
      </c>
      <c r="F7" s="6" t="s">
        <v>94</v>
      </c>
    </row>
    <row r="8" spans="1:6" x14ac:dyDescent="0.25">
      <c r="A8" t="s">
        <v>95</v>
      </c>
      <c r="B8" s="18">
        <v>910000000</v>
      </c>
      <c r="C8" s="18">
        <v>1181000000</v>
      </c>
      <c r="D8" s="18">
        <v>1615000000</v>
      </c>
      <c r="E8" s="18">
        <v>1749000000</v>
      </c>
      <c r="F8" s="6" t="s">
        <v>96</v>
      </c>
    </row>
    <row r="9" spans="1:6" x14ac:dyDescent="0.25">
      <c r="A9" t="s">
        <v>97</v>
      </c>
      <c r="B9" s="18">
        <v>3196000000</v>
      </c>
      <c r="C9" s="18">
        <v>5223000000</v>
      </c>
      <c r="D9" s="18">
        <v>-15296000000</v>
      </c>
      <c r="E9" s="18">
        <v>-184000000</v>
      </c>
      <c r="F9" s="6" t="s">
        <v>98</v>
      </c>
    </row>
    <row r="10" spans="1:6" x14ac:dyDescent="0.25">
      <c r="A10" t="s">
        <v>99</v>
      </c>
      <c r="B10" s="18">
        <v>12602000000</v>
      </c>
      <c r="C10" s="18">
        <v>13044000000</v>
      </c>
      <c r="D10" s="18">
        <v>16751000000</v>
      </c>
      <c r="E10" s="18">
        <v>16855000000</v>
      </c>
      <c r="F10" s="6" t="s">
        <v>100</v>
      </c>
    </row>
    <row r="11" spans="1:6" x14ac:dyDescent="0.25">
      <c r="A11" t="s">
        <v>101</v>
      </c>
      <c r="B11" s="18">
        <v>5933000000</v>
      </c>
      <c r="C11" s="18">
        <v>7728000000</v>
      </c>
      <c r="D11" s="18">
        <v>5785000000</v>
      </c>
      <c r="E11" s="18">
        <v>3893000000</v>
      </c>
      <c r="F11" s="6" t="s">
        <v>102</v>
      </c>
    </row>
    <row r="12" spans="1:6" x14ac:dyDescent="0.25">
      <c r="A12" t="s">
        <v>34</v>
      </c>
      <c r="B12" s="34">
        <v>541300000</v>
      </c>
      <c r="C12" s="34">
        <v>552400000</v>
      </c>
      <c r="D12" s="34">
        <v>553900000</v>
      </c>
      <c r="E12" s="34">
        <v>567600000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