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<sst xmlns="http://schemas.openxmlformats.org/spreadsheetml/2006/main" count="111" uniqueCount="99">
  <si>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3M Company (MMM)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</si>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</sst>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-0.01570080136859997</v>
      </c>
    </row>
    <row r="7" spans="1:2" x14ac:dyDescent="0.25">
      <c r="A7" t="s">
        <v>5</v>
      </c>
      <c r="B7" s="6">
        <v>0.006423860755222437</v>
      </c>
    </row>
    <row r="8" spans="1:2" x14ac:dyDescent="0.25">
      <c r="A8" t="s">
        <v>6</v>
      </c>
      <c r="B8" s="6">
        <v>0.1668395932766134</v>
      </c>
    </row>
    <row r="9" spans="1:2" x14ac:dyDescent="0.25">
      <c r="A9" t="s">
        <v>7</v>
      </c>
      <c r="B9" s="6">
        <v>0.06465528431635023</v>
      </c>
    </row>
    <row r="10" spans="1:2" x14ac:dyDescent="0.25">
      <c r="A10" t="s">
        <v>8</v>
      </c>
      <c r="B10" s="6">
        <v>0.0542529527501672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15.120871119855714</v>
      </c>
    </row>
    <row r="14" spans="1:3" x14ac:dyDescent="0.25">
      <c r="A14" t="s">
        <v>12</v>
      </c>
      <c r="B14" s="6">
        <v>0.2306791209322553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1.0495800000000002</v>
      </c>
      <c r="C19" s="8" t="s">
        <v>19</v>
      </c>
    </row>
    <row r="20" spans="1:2" x14ac:dyDescent="0.25">
      <c r="A20" t="s">
        <v>20</v>
      </c>
      <c r="B20" s="10">
        <f>B17+B19*B18</f>
        <v>0.10770690000000002</v>
      </c>
    </row>
    <row r="21" spans="1:3" x14ac:dyDescent="0.25">
      <c r="A21" t="s">
        <v>21</v>
      </c>
      <c r="B21" s="6">
        <v>0.07377368790454651</v>
      </c>
      <c r="C21" s="8" t="s">
        <v>22</v>
      </c>
    </row>
    <row r="22" spans="1:2" x14ac:dyDescent="0.25">
      <c r="A22" t="s">
        <v>23</v>
      </c>
      <c r="B22" s="11">
        <v>85553192960</v>
      </c>
    </row>
    <row r="23" spans="1:2" x14ac:dyDescent="0.25">
      <c r="A23" t="s">
        <v>24</v>
      </c>
      <c r="B23" s="11">
        <v>12602000000</v>
      </c>
    </row>
    <row r="24" spans="1:2" x14ac:dyDescent="0.25">
      <c r="A24" t="s">
        <v>25</v>
      </c>
      <c r="B24" s="10">
        <f>B22/(B22+B23)</f>
        <v>0.871611479535927</v>
      </c>
    </row>
    <row r="25" spans="1:2" x14ac:dyDescent="0.25">
      <c r="A25" t="s">
        <v>26</v>
      </c>
      <c r="B25" s="10">
        <f>1-B24</f>
        <v>0.128388520464073</v>
      </c>
    </row>
    <row r="26" spans="1:2" x14ac:dyDescent="0.25">
      <c r="A26" t="s">
        <v>27</v>
      </c>
      <c r="B26" s="12">
        <f>B24*B20+B25*B21*(1-B8)</f>
        <v>0.10177001142321958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24948000000</v>
      </c>
      <c r="C29" s="8" t="s">
        <v>30</v>
      </c>
    </row>
    <row r="30" spans="1:2" x14ac:dyDescent="0.25">
      <c r="A30" t="s">
        <v>31</v>
      </c>
      <c r="B30" s="11">
        <v>6669000000</v>
      </c>
    </row>
    <row r="31" spans="1:2" x14ac:dyDescent="0.25">
      <c r="A31" t="s">
        <v>32</v>
      </c>
      <c r="B31" s="13">
        <v>541300000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-0.01570080136859997</v>
      </c>
      <c r="C5" s="10">
        <f>Assumptions!B6</f>
        <v>-0.01570080136859997</v>
      </c>
      <c r="D5" s="10">
        <f>Assumptions!B6</f>
        <v>-0.01570080136859997</v>
      </c>
      <c r="E5" s="10">
        <f>Assumptions!B6</f>
        <v>-0.01570080136859997</v>
      </c>
      <c r="F5" s="10">
        <f>Assumptions!B6</f>
        <v>-0.01570080136859997</v>
      </c>
    </row>
    <row r="6" spans="1:6" x14ac:dyDescent="0.25">
      <c r="A6" t="s">
        <v>43</v>
      </c>
      <c r="B6" s="18">
        <f>Assumptions!B29*(1+B5)</f>
        <v>24556296407.45617</v>
      </c>
      <c r="C6" s="18">
        <f>B6*(1+C5)</f>
        <v>24170742875.214233</v>
      </c>
      <c r="D6" s="18">
        <f>C6*(1+D5)</f>
        <v>23791242842.39899</v>
      </c>
      <c r="E6" s="18">
        <f>D6*(1+E5)</f>
        <v>23417701264.218357</v>
      </c>
      <c r="F6" s="18">
        <f>E6*(1+F5)</f>
        <v>23050024588.159653</v>
      </c>
    </row>
    <row r="7" spans="1:6" x14ac:dyDescent="0.25">
      <c r="A7" t="s">
        <v>5</v>
      </c>
      <c r="B7" s="10">
        <f>Assumptions!B7</f>
        <v>0.006423860755222437</v>
      </c>
      <c r="C7" s="10">
        <f>Assumptions!B7</f>
        <v>0.006423860755222437</v>
      </c>
      <c r="D7" s="10">
        <f>Assumptions!B7</f>
        <v>0.006423860755222437</v>
      </c>
      <c r="E7" s="10">
        <f>Assumptions!B7</f>
        <v>0.006423860755222437</v>
      </c>
      <c r="F7" s="10">
        <f>Assumptions!B7</f>
        <v>0.006423860755222437</v>
      </c>
    </row>
    <row r="8" spans="1:6" x14ac:dyDescent="0.25">
      <c r="A8" t="s">
        <v>44</v>
      </c>
      <c r="B8" s="18">
        <f>B6*B7</f>
        <v>157746228.7854674</v>
      </c>
      <c r="C8" s="18">
        <f>C6*C7</f>
        <v>155269486.58066103</v>
      </c>
      <c r="D8" s="18">
        <f>D6*D7</f>
        <v>152831631.21325356</v>
      </c>
      <c r="E8" s="18">
        <f>E6*E7</f>
        <v>150432052.12873515</v>
      </c>
      <c r="F8" s="18">
        <f>F6*F7</f>
        <v>148070148.358791</v>
      </c>
    </row>
    <row r="9" spans="1:6" x14ac:dyDescent="0.25">
      <c r="A9" t="s">
        <v>45</v>
      </c>
      <c r="B9" s="18">
        <f>B8*(1-Assumptions!B8)</f>
        <v>131427912.13398041</v>
      </c>
      <c r="C9" s="18">
        <f>C8*(1-Assumptions!B8)</f>
        <v>129364388.59127496</v>
      </c>
      <c r="D9" s="18">
        <f>D8*(1-Assumptions!B8)</f>
        <v>127333264.02183297</v>
      </c>
      <c r="E9" s="18">
        <f>E8*(1-Assumptions!B8)</f>
        <v>125334029.73581068</v>
      </c>
      <c r="F9" s="18">
        <f>F8*(1-Assumptions!B8)</f>
        <v>123366185.03020251</v>
      </c>
    </row>
    <row r="10" spans="1:6" x14ac:dyDescent="0.25">
      <c r="A10" t="s">
        <v>46</v>
      </c>
      <c r="B10" s="18">
        <f>B6*Assumptions!B9</f>
        <v>1587694325.9806483</v>
      </c>
      <c r="C10" s="18">
        <f>C6*Assumptions!B9</f>
        <v>1562766252.7343729</v>
      </c>
      <c r="D10" s="18">
        <f>D6*Assumptions!B9</f>
        <v>1538229570.2146392</v>
      </c>
      <c r="E10" s="18">
        <f>E6*Assumptions!B9</f>
        <v>1514078133.2733922</v>
      </c>
      <c r="F10" s="18">
        <f>F6*Assumptions!B9</f>
        <v>1490305893.246326</v>
      </c>
    </row>
    <row r="11" spans="1:6" x14ac:dyDescent="0.25">
      <c r="A11" t="s">
        <v>47</v>
      </c>
      <c r="B11" s="18">
        <f>-B6*Assumptions!B10</f>
        <v>-1332251588.71282</v>
      </c>
      <c r="C11" s="18">
        <f>-C6*Assumptions!B10</f>
        <v>-1311334171.1454382</v>
      </c>
      <c r="D11" s="18">
        <f>-D6*Assumptions!B10</f>
        <v>-1290745173.796426</v>
      </c>
      <c r="E11" s="18">
        <f>-E6*Assumptions!B10</f>
        <v>-1270479440.2051692</v>
      </c>
      <c r="F11" s="18">
        <f>-F6*Assumptions!B10</f>
        <v>-1250531894.8716178</v>
      </c>
    </row>
    <row r="12" spans="1:6" x14ac:dyDescent="0.25">
      <c r="A12" t="s">
        <v>48</v>
      </c>
      <c r="B12" s="18">
        <f>-(B6-Assumptions!B29)*Assumptions!B11</f>
        <v>391703592.5438309</v>
      </c>
      <c r="C12" s="18">
        <f>-(C6-B6)*Assumptions!B11</f>
        <v>385553532.24193573</v>
      </c>
      <c r="D12" s="18">
        <f>-(D6-C6)*Assumptions!B11</f>
        <v>379500032.81524277</v>
      </c>
      <c r="E12" s="18">
        <f>-(E6-D6)*Assumptions!B11</f>
        <v>373541578.18063354</v>
      </c>
      <c r="F12" s="18">
        <f>-(F6-E6)*Assumptions!B11</f>
        <v>367676676.0587044</v>
      </c>
    </row>
    <row r="13" spans="1:6" x14ac:dyDescent="0.25">
      <c r="A13" s="19" t="s">
        <v>49</v>
      </c>
      <c r="B13" s="20">
        <f>B9+B10+B11+B12</f>
        <v>778574241.9456396</v>
      </c>
      <c r="C13" s="20">
        <f>C9+C10+C11+C12</f>
        <v>766350002.4221454</v>
      </c>
      <c r="D13" s="20">
        <f>D9+D10+D11+D12</f>
        <v>754317693.2552888</v>
      </c>
      <c r="E13" s="20">
        <f>E9+E10+E11+E12</f>
        <v>742474300.9846673</v>
      </c>
      <c r="F13" s="20">
        <f>F9+F10+F11+F12</f>
        <v>730816859.463615</v>
      </c>
    </row>
    <row r="14" spans="1:6" x14ac:dyDescent="0.25">
      <c r="A14" t="s">
        <v>50</v>
      </c>
      <c r="B14" s="21">
        <f>1/(1+Assumptions!$B$26)^(1-0.5*Assumptions!$B$32)</f>
        <v>0.952696404829965</v>
      </c>
      <c r="C14" s="21">
        <f>1/(1+Assumptions!$B$26)^(2-0.5*Assumptions!$B$32)</f>
        <v>0.8646962568887788</v>
      </c>
      <c r="D14" s="21">
        <f>1/(1+Assumptions!$B$26)^(3-0.5*Assumptions!$B$32)</f>
        <v>0.784824643912572</v>
      </c>
      <c r="E14" s="21">
        <f>1/(1+Assumptions!$B$26)^(4-0.5*Assumptions!$B$32)</f>
        <v>0.7123307367013638</v>
      </c>
      <c r="F14" s="21">
        <f>1/(1+Assumptions!$B$26)^(5-0.5*Assumptions!$B$32)</f>
        <v>0.6465330598181787</v>
      </c>
    </row>
    <row r="15" spans="1:6" x14ac:dyDescent="0.25">
      <c r="A15" s="19" t="s">
        <v>51</v>
      </c>
      <c r="B15" s="20">
        <f>B13*B14</f>
        <v>741744881.1948261</v>
      </c>
      <c r="C15" s="20">
        <f>C13*C14</f>
        <v>662659978.5611356</v>
      </c>
      <c r="D15" s="20">
        <f>D13*D14</f>
        <v>592007115.0060347</v>
      </c>
      <c r="E15" s="20">
        <f>E13*E14</f>
        <v>528887265.80223817</v>
      </c>
      <c r="F15" s="20">
        <f>F13*F14</f>
        <v>472497260.3157228</v>
      </c>
    </row>
    <row r="17" spans="1:2" x14ac:dyDescent="0.25">
      <c r="A17" s="22" t="s">
        <v>52</v>
      </c>
      <c r="B17" s="23">
        <f>SUM(B15:F15)</f>
        <v>2997796500.8799577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730816859.463615</v>
      </c>
    </row>
    <row r="5" spans="1:2" x14ac:dyDescent="0.25">
      <c r="A5" t="s">
        <v>56</v>
      </c>
      <c r="B5" s="18">
        <f>IF(Assumptions!$B$33=0,B4,B4-Forecast!F11-Forecast!F10-Forecast!F12)</f>
        <v>123366185.03020251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0.10837565141988675</v>
      </c>
    </row>
    <row r="7" spans="1:2" x14ac:dyDescent="0.25">
      <c r="A7" t="s">
        <v>58</v>
      </c>
      <c r="B7" s="18">
        <f>-MAX(Forecast!F9,0)*B6</f>
        <v>-13369890.665834479</v>
      </c>
    </row>
    <row r="8" spans="1:2" x14ac:dyDescent="0.25">
      <c r="A8" t="s">
        <v>59</v>
      </c>
      <c r="B8" s="18">
        <f>IF(OR(Assumptions!$B$33=0,Assumptions!B12&lt;=0),B5,MAX(B5+B7,0))</f>
        <v>109996294.36436802</v>
      </c>
    </row>
    <row r="9" spans="1:2" x14ac:dyDescent="0.25">
      <c r="A9" t="s">
        <v>60</v>
      </c>
      <c r="B9" s="18">
        <f>B8*(1+Assumptions!B12)/(Assumptions!B26-Assumptions!B12)</f>
        <v>1468622964.0103507</v>
      </c>
    </row>
    <row r="10" spans="1:2" x14ac:dyDescent="0.25">
      <c r="A10" t="s">
        <v>61</v>
      </c>
      <c r="B10" s="18">
        <f>B9/(1+Assumptions!B26)^(5-0.5*Assumptions!B32)</f>
        <v>949513298.640855</v>
      </c>
    </row>
    <row r="11" spans="1:2" x14ac:dyDescent="0.25">
      <c r="A11" t="s">
        <v>62</v>
      </c>
      <c r="B11" s="18">
        <f>Forecast!B17+B10</f>
        <v>3947309799.5208125</v>
      </c>
    </row>
    <row r="12" spans="1:2" x14ac:dyDescent="0.25">
      <c r="A12" t="s">
        <v>63</v>
      </c>
      <c r="B12" s="18">
        <f>-Assumptions!B30</f>
        <v>-6669000000</v>
      </c>
    </row>
    <row r="13" spans="1:2" x14ac:dyDescent="0.25">
      <c r="A13" t="s">
        <v>64</v>
      </c>
      <c r="B13" s="18">
        <f>B11+B12</f>
        <v>-2721690200.4791875</v>
      </c>
    </row>
    <row r="14" spans="1:2" x14ac:dyDescent="0.25">
      <c r="A14" s="19" t="s">
        <v>65</v>
      </c>
      <c r="B14" s="24">
        <f>B13/Assumptions!B31</f>
        <v>-5.028062443153866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1638376041.6051168</v>
      </c>
    </row>
    <row r="18" spans="1:2" x14ac:dyDescent="0.25">
      <c r="A18" t="s">
        <v>60</v>
      </c>
      <c r="B18" s="18">
        <f>B17*Assumptions!B13</f>
        <v>24773672970.970333</v>
      </c>
    </row>
    <row r="19" spans="1:2" x14ac:dyDescent="0.25">
      <c r="A19" t="s">
        <v>61</v>
      </c>
      <c r="B19" s="18">
        <f>B18/(1+Assumptions!B26)^(5-0.5*Assumptions!B32)</f>
        <v>16016998588.856358</v>
      </c>
    </row>
    <row r="20" spans="1:2" x14ac:dyDescent="0.25">
      <c r="A20" t="s">
        <v>62</v>
      </c>
      <c r="B20" s="18">
        <f>Forecast!B17+B19</f>
        <v>19014795089.736317</v>
      </c>
    </row>
    <row r="21" spans="1:2" x14ac:dyDescent="0.25">
      <c r="A21" t="s">
        <v>63</v>
      </c>
      <c r="B21" s="18">
        <f>-Assumptions!B30</f>
        <v>-6669000000</v>
      </c>
    </row>
    <row r="22" spans="1:2" x14ac:dyDescent="0.25">
      <c r="A22" t="s">
        <v>64</v>
      </c>
      <c r="B22" s="18">
        <f>B20+B21</f>
        <v>12345795089.736317</v>
      </c>
    </row>
    <row r="23" spans="1:2" x14ac:dyDescent="0.25">
      <c r="A23" s="19" t="s">
        <v>65</v>
      </c>
      <c r="B23" s="25">
        <f>B22/Assumptions!B31</f>
        <v>22.807676131048062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165.89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-5.028062443153866</v>
      </c>
    </row>
    <row r="29" spans="1:2" x14ac:dyDescent="0.25">
      <c r="A29" s="19" t="s">
        <v>73</v>
      </c>
      <c r="B29" s="12">
        <f>B28/B26-1</f>
        <v>-1.030309617476363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0.08177</v>
      </c>
      <c r="B5" s="31">
        <v>-4.270285267703643</v>
      </c>
      <c r="C5" s="31">
        <v>-4.131357371421707</v>
      </c>
      <c r="D5" s="31">
        <v>-3.968568346290731</v>
      </c>
      <c r="E5" s="31">
        <v>-3.7750045950007727</v>
      </c>
      <c r="F5" s="31">
        <v>-3.5407960963334304</v>
      </c>
    </row>
    <row r="6" spans="1:6" x14ac:dyDescent="0.25">
      <c r="A6" s="30">
        <v>0.09177</v>
      </c>
      <c r="B6" s="31">
        <v>-4.767855318515331</v>
      </c>
      <c r="C6" s="31">
        <v>-4.672935833206261</v>
      </c>
      <c r="D6" s="31">
        <v>-4.564298825541895</v>
      </c>
      <c r="E6" s="31">
        <v>-4.438613182759897</v>
      </c>
      <c r="F6" s="31">
        <v>-4.291374245237854</v>
      </c>
    </row>
    <row r="7" spans="1:6" x14ac:dyDescent="0.25">
      <c r="A7" s="30">
        <v>0.10177</v>
      </c>
      <c r="B7" s="31">
        <v>-5.170642374200174</v>
      </c>
      <c r="C7" s="31">
        <v>-5.103516069505818</v>
      </c>
      <c r="D7" s="32">
        <v>-5.028061969627829</v>
      </c>
      <c r="E7" s="31">
        <v>-4.942539557250413</v>
      </c>
      <c r="F7" s="31">
        <v>-4.844686967951059</v>
      </c>
    </row>
    <row r="8" spans="1:6" x14ac:dyDescent="0.25">
      <c r="A8" s="30">
        <v>0.11177</v>
      </c>
      <c r="B8" s="31">
        <v>-5.507030036010862</v>
      </c>
      <c r="C8" s="31">
        <v>-5.458313425274755</v>
      </c>
      <c r="D8" s="31">
        <v>-5.40433577464961</v>
      </c>
      <c r="E8" s="31">
        <v>-5.344131991823631</v>
      </c>
      <c r="F8" s="31">
        <v>-5.276485560149527</v>
      </c>
    </row>
    <row r="9" spans="1:6" x14ac:dyDescent="0.25">
      <c r="A9" s="30">
        <v>0.12177</v>
      </c>
      <c r="B9" s="31">
        <v>-5.7948274273036935</v>
      </c>
      <c r="C9" s="31">
        <v>-5.758764917541127</v>
      </c>
      <c r="D9" s="31">
        <v>-5.7192801639882385</v>
      </c>
      <c r="E9" s="31">
        <v>-5.675813793681583</v>
      </c>
      <c r="F9" s="31">
        <v>-5.627677501316263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24948000000</v>
      </c>
      <c r="C5" s="18">
        <v>24575000000</v>
      </c>
      <c r="D5" s="18">
        <v>24610000000</v>
      </c>
      <c r="E5" s="18">
        <v>26161000000</v>
      </c>
      <c r="F5" s="8" t="s">
        <v>84</v>
      </c>
    </row>
    <row r="6" spans="1:6" x14ac:dyDescent="0.25">
      <c r="A6" t="s">
        <v>44</v>
      </c>
      <c r="B6" s="18">
        <v>4791000000</v>
      </c>
      <c r="C6" s="18">
        <v>4822000000</v>
      </c>
      <c r="D6" s="18">
        <v>-10725000000</v>
      </c>
      <c r="E6" s="18">
        <v>1916000000</v>
      </c>
      <c r="F6" s="8" t="s">
        <v>85</v>
      </c>
    </row>
    <row r="7" spans="1:6" x14ac:dyDescent="0.25">
      <c r="A7" t="s">
        <v>86</v>
      </c>
      <c r="B7" s="18">
        <v>1308000000</v>
      </c>
      <c r="C7" s="18">
        <v>1363000000</v>
      </c>
      <c r="D7" s="18">
        <v>1987000000</v>
      </c>
      <c r="E7" s="18">
        <v>1831000000</v>
      </c>
      <c r="F7" s="8" t="s">
        <v>87</v>
      </c>
    </row>
    <row r="8" spans="1:6" x14ac:dyDescent="0.25">
      <c r="A8" t="s">
        <v>88</v>
      </c>
      <c r="B8" s="18">
        <v>910000000</v>
      </c>
      <c r="C8" s="18">
        <v>1181000000</v>
      </c>
      <c r="D8" s="18">
        <v>1615000000</v>
      </c>
      <c r="E8" s="18">
        <v>1749000000</v>
      </c>
      <c r="F8" s="8" t="s">
        <v>89</v>
      </c>
    </row>
    <row r="9" spans="1:6" x14ac:dyDescent="0.25">
      <c r="A9" t="s">
        <v>90</v>
      </c>
      <c r="B9" s="18">
        <v>3196000000</v>
      </c>
      <c r="C9" s="18">
        <v>5223000000</v>
      </c>
      <c r="D9" s="18">
        <v>-15296000000</v>
      </c>
      <c r="E9" s="18">
        <v>-184000000</v>
      </c>
      <c r="F9" s="8" t="s">
        <v>91</v>
      </c>
    </row>
    <row r="10" spans="1:6" x14ac:dyDescent="0.25">
      <c r="A10" t="s">
        <v>92</v>
      </c>
      <c r="B10" s="18">
        <v>12602000000</v>
      </c>
      <c r="C10" s="18">
        <v>13044000000</v>
      </c>
      <c r="D10" s="18">
        <v>16751000000</v>
      </c>
      <c r="E10" s="18">
        <v>16855000000</v>
      </c>
      <c r="F10" s="8" t="s">
        <v>93</v>
      </c>
    </row>
    <row r="11" spans="1:6" x14ac:dyDescent="0.25">
      <c r="A11" t="s">
        <v>94</v>
      </c>
      <c r="B11" s="18">
        <v>5933000000</v>
      </c>
      <c r="C11" s="18">
        <v>7728000000</v>
      </c>
      <c r="D11" s="18">
        <v>5785000000</v>
      </c>
      <c r="E11" s="18">
        <v>3893000000</v>
      </c>
      <c r="F11" s="8" t="s">
        <v>95</v>
      </c>
    </row>
    <row r="12" spans="1:6" x14ac:dyDescent="0.25">
      <c r="A12" t="s">
        <v>32</v>
      </c>
      <c r="B12" s="34">
        <v>541300000</v>
      </c>
      <c r="C12" s="34">
        <v>552400000</v>
      </c>
      <c r="D12" s="34">
        <v>553900000</v>
      </c>
      <c r="E12" s="34">
        <v>567600000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