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<sst xmlns="http://schemas.openxmlformats.org/spreadsheetml/2006/main" count="120" uniqueCount="103">
  <si>
    <t>Monadelphous Group Limited (MND.AX)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</si>
  <si>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</si>
  <si>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</si>
  <si>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</si>
  <si>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</si>
  <si>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</si>
  <si>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</si>
  <si>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</si>
  <si>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</si>
  <si>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</si>
  <si>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</si>
  <si>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</si>
  <si>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</si>
  <si>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</si>
  <si>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</si>
  <si>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</si>
  <si>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</si>
  <si>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</si>
  <si>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</si>
  <si>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</si>
  <si>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</si>
  <si>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</si>
  <si>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</si>
  <si>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</si>
  <si>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</si>
  <si>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</si>
  <si>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</si>
  <si>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</si>
  <si>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</si>
  <si>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</si>
  <si>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2024-06-30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</si>
  <si>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</si>
  <si>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</si>
  <si>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</si>
  <si>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</si>
  <si>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</si>
  <si>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</si>
  <si>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</si>
  <si>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</si>
  <si>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</si>
  <si>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</si>
  <si>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</si>
  <si>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</si>
  <si>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</si>
  <si>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</si>
  <si>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</si>
  <si>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</si>
  <si>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</si>
  <si>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</si>
  <si>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</si>
  <si>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</si>
  <si>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</si>
  <si>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</si>
  <si>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</si>
  <si>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</si>
  <si>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</si>
  <si>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</si>
  <si>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</si>
  <si>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</si>
  <si>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</si>
  <si>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</si>
  <si>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</si>
  <si>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</si>
  <si>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</si>
  <si>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</si>
  <si>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</si>
  <si>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</si>
  <si>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</si>
  <si>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</si>
  <si>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</si>
  <si>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</si>
  <si>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</si>
  <si>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</si>
  <si>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</si>
  <si>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</si>
  <si>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</si>
  <si>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</si>
  <si>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</si>
  <si>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</si>
  <si>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</si>
  <si>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</si>
  <si>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</si>
  <si>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</si>
  <si>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</si>
  <si>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</si>
  <si>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</si>
  <si>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</si>
  <si>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</si>
  <si>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</si>
  <si>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</si>
  <si>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</si>
  <si>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</si>
  <si>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</si>
  <si>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</si>
  <si>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</si>
  <si>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</si>
  <si>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</si>
  <si>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</si>
  <si>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</si>
  <si>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</si>
  <si>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Adjusted: Only 3 year(s) of history available to anchor assumptions on.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</si>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</sst>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0.05358409913775919</v>
      </c>
    </row>
    <row r="7" spans="1:2" x14ac:dyDescent="0.25">
      <c r="A7" t="s">
        <v>5</v>
      </c>
      <c r="B7" s="6">
        <v>0.017530089621046126</v>
      </c>
    </row>
    <row r="8" spans="1:2" x14ac:dyDescent="0.25">
      <c r="A8" t="s">
        <v>6</v>
      </c>
      <c r="B8" s="6">
        <v>0.2930043841734063</v>
      </c>
    </row>
    <row r="9" spans="1:2" x14ac:dyDescent="0.25">
      <c r="A9" t="s">
        <v>7</v>
      </c>
      <c r="B9" s="6">
        <v>0.018902938260548067</v>
      </c>
    </row>
    <row r="10" spans="1:2" x14ac:dyDescent="0.25">
      <c r="A10" t="s">
        <v>8</v>
      </c>
      <c r="B10" s="6">
        <v>0.020254431786433845</v>
      </c>
    </row>
    <row r="11" spans="1:2" x14ac:dyDescent="0.25">
      <c r="A11" t="s">
        <v>9</v>
      </c>
      <c r="B11" s="6">
        <v>-0.04717461924498455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0.056176874564531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0.7246299999999999</v>
      </c>
      <c r="C19" s="8" t="s">
        <v>19</v>
      </c>
    </row>
    <row r="20" spans="1:2" x14ac:dyDescent="0.25">
      <c r="A20" t="s">
        <v>20</v>
      </c>
      <c r="B20" s="10">
        <f>B17+B19*B18</f>
        <v>0.09695779999999998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94240000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0.037810125534406235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2008562000</v>
      </c>
      <c r="C29" s="8" t="s">
        <v>30</v>
      </c>
    </row>
    <row r="30" spans="1:2" x14ac:dyDescent="0.25">
      <c r="A30" t="s">
        <v>31</v>
      </c>
      <c r="B30" s="11">
        <v>-131624000</v>
      </c>
    </row>
    <row r="31" spans="1:2" x14ac:dyDescent="0.25">
      <c r="A31" t="s">
        <v>32</v>
      </c>
      <c r="B31" s="13">
        <v>98531601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0.05358409913775919</v>
      </c>
      <c r="C5" s="10">
        <f>Assumptions!B6</f>
        <v>0.05358409913775919</v>
      </c>
      <c r="D5" s="10">
        <f>Assumptions!B6</f>
        <v>0.05358409913775919</v>
      </c>
      <c r="E5" s="10">
        <f>Assumptions!B6</f>
        <v>0.05358409913775919</v>
      </c>
      <c r="F5" s="10">
        <f>Assumptions!B6</f>
        <v>0.05358409913775919</v>
      </c>
    </row>
    <row r="6" spans="1:6" x14ac:dyDescent="0.25">
      <c r="A6" t="s">
        <v>43</v>
      </c>
      <c r="B6" s="18">
        <f>Assumptions!B29*(1+B5)</f>
        <v>2116188985.332336</v>
      </c>
      <c r="C6" s="18">
        <f>B6*(1+C5)</f>
        <v>2229583065.716618</v>
      </c>
      <c r="D6" s="18">
        <f>C6*(1+D5)</f>
        <v>2349053265.7458463</v>
      </c>
      <c r="E6" s="18">
        <f>D6*(1+E5)</f>
        <v>2474925168.8174486</v>
      </c>
      <c r="F6" s="18">
        <f>E6*(1+F5)</f>
        <v>2607541804.4218984</v>
      </c>
    </row>
    <row r="7" spans="1:6" x14ac:dyDescent="0.25">
      <c r="A7" t="s">
        <v>5</v>
      </c>
      <c r="B7" s="10">
        <f>Assumptions!B7</f>
        <v>0.017530089621046126</v>
      </c>
      <c r="C7" s="10">
        <f>Assumptions!B7</f>
        <v>0.017530089621046126</v>
      </c>
      <c r="D7" s="10">
        <f>Assumptions!B7</f>
        <v>0.017530089621046126</v>
      </c>
      <c r="E7" s="10">
        <f>Assumptions!B7</f>
        <v>0.017530089621046126</v>
      </c>
      <c r="F7" s="10">
        <f>Assumptions!B7</f>
        <v>0.017530089621046126</v>
      </c>
    </row>
    <row r="8" spans="1:6" x14ac:dyDescent="0.25">
      <c r="A8" t="s">
        <v>44</v>
      </c>
      <c r="B8" s="18">
        <f>B6*B7</f>
        <v>37096982.567946516</v>
      </c>
      <c r="C8" s="18">
        <f>C6*C7</f>
        <v>39084790.95957909</v>
      </c>
      <c r="D8" s="18">
        <f>D6*D7</f>
        <v>41179114.27313577</v>
      </c>
      <c r="E8" s="18">
        <f>E6*E7</f>
        <v>43385660.01475259</v>
      </c>
      <c r="F8" s="18">
        <f>F6*F7</f>
        <v>45710441.52214021</v>
      </c>
    </row>
    <row r="9" spans="1:6" x14ac:dyDescent="0.25">
      <c r="A9" t="s">
        <v>45</v>
      </c>
      <c r="B9" s="18">
        <f>B8*(1-Assumptions!B8)</f>
        <v>26227404.03593376</v>
      </c>
      <c r="C9" s="18">
        <f>C8*(1-Assumptions!B8)</f>
        <v>27632775.8539213</v>
      </c>
      <c r="D9" s="18">
        <f>D8*(1-Assumptions!B8)</f>
        <v>29113453.254729297</v>
      </c>
      <c r="E9" s="18">
        <f>E8*(1-Assumptions!B8)</f>
        <v>30673471.42017323</v>
      </c>
      <c r="F9" s="18">
        <f>F8*(1-Assumptions!B8)</f>
        <v>32317081.753651023</v>
      </c>
    </row>
    <row r="10" spans="1:6" x14ac:dyDescent="0.25">
      <c r="A10" t="s">
        <v>46</v>
      </c>
      <c r="B10" s="18">
        <f>B6*Assumptions!B9</f>
        <v>40002189.737389006</v>
      </c>
      <c r="C10" s="18">
        <f>C6*Assumptions!B9</f>
        <v>42145671.03800471</v>
      </c>
      <c r="D10" s="18">
        <f>D6*Assumptions!B9</f>
        <v>44404008.853132546</v>
      </c>
      <c r="E10" s="18">
        <f>E6*Assumptions!B9</f>
        <v>46783357.66563273</v>
      </c>
      <c r="F10" s="18">
        <f>F6*Assumptions!B9</f>
        <v>49290201.74078525</v>
      </c>
    </row>
    <row r="11" spans="1:6" x14ac:dyDescent="0.25">
      <c r="A11" t="s">
        <v>47</v>
      </c>
      <c r="B11" s="18">
        <f>-B6*Assumptions!B10</f>
        <v>-42862205.45061645</v>
      </c>
      <c r="C11" s="18">
        <f>-C6*Assumptions!B10</f>
        <v>-45158938.116745286</v>
      </c>
      <c r="D11" s="18">
        <f>-D6*Assumptions!B10</f>
        <v>-47578739.1337489</v>
      </c>
      <c r="E11" s="18">
        <f>-E6*Assumptions!B10</f>
        <v>-50128203.00834128</v>
      </c>
      <c r="F11" s="18">
        <f>-F6*Assumptions!B10</f>
        <v>-52814277.60793796</v>
      </c>
    </row>
    <row r="12" spans="1:6" x14ac:dyDescent="0.25">
      <c r="A12" t="s">
        <v>48</v>
      </c>
      <c r="B12" s="18">
        <f>-(B6-Assumptions!B29)*Assumptions!B11</f>
        <v>5077262.053538485</v>
      </c>
      <c r="C12" s="18">
        <f>-(C6-B6)*Assumptions!B11</f>
        <v>5349322.5667636795</v>
      </c>
      <c r="D12" s="18">
        <f>-(D6-C6)*Assumptions!B11</f>
        <v>5635961.197500982</v>
      </c>
      <c r="E12" s="18">
        <f>-(E6-D6)*Assumptions!B11</f>
        <v>5937959.101044442</v>
      </c>
      <c r="F12" s="18">
        <f>-(F6-E6)*Assumptions!B11</f>
        <v>6256139.290190778</v>
      </c>
    </row>
    <row r="13" spans="1:6" x14ac:dyDescent="0.25">
      <c r="A13" s="19" t="s">
        <v>49</v>
      </c>
      <c r="B13" s="20">
        <f>B9+B10+B11+B12</f>
        <v>28444650.3762448</v>
      </c>
      <c r="C13" s="20">
        <f>C9+C10+C11+C12</f>
        <v>29968831.341944415</v>
      </c>
      <c r="D13" s="20">
        <f>D9+D10+D11+D12</f>
        <v>31574684.17161393</v>
      </c>
      <c r="E13" s="20">
        <f>E9+E10+E11+E12</f>
        <v>33266585.178509127</v>
      </c>
      <c r="F13" s="20">
        <f>F9+F10+F11+F12</f>
        <v>35049145.17668908</v>
      </c>
    </row>
    <row r="14" spans="1:6" x14ac:dyDescent="0.25">
      <c r="A14" t="s">
        <v>50</v>
      </c>
      <c r="B14" s="21">
        <f>1/(1+Assumptions!$B$26)^(1-0.5*Assumptions!$B$32)</f>
        <v>0.9816146880542269</v>
      </c>
      <c r="C14" s="21">
        <f>1/(1+Assumptions!$B$26)^(2-0.5*Assumptions!$B$32)</f>
        <v>0.9458519086511684</v>
      </c>
      <c r="D14" s="21">
        <f>1/(1+Assumptions!$B$26)^(3-0.5*Assumptions!$B$32)</f>
        <v>0.9113920604350578</v>
      </c>
      <c r="E14" s="21">
        <f>1/(1+Assumptions!$B$26)^(4-0.5*Assumptions!$B$32)</f>
        <v>0.8781876742296657</v>
      </c>
      <c r="F14" s="21">
        <f>1/(1+Assumptions!$B$26)^(5-0.5*Assumptions!$B$32)</f>
        <v>0.8461930102844726</v>
      </c>
    </row>
    <row r="15" spans="1:6" x14ac:dyDescent="0.25">
      <c r="A15" s="19" t="s">
        <v>51</v>
      </c>
      <c r="B15" s="20">
        <f>B13*B14</f>
        <v>27921686.605889086</v>
      </c>
      <c r="C15" s="20">
        <f>C13*C14</f>
        <v>28346076.32482308</v>
      </c>
      <c r="D15" s="20">
        <f>D13*D14</f>
        <v>28776916.464753427</v>
      </c>
      <c r="E15" s="20">
        <f>E13*E14</f>
        <v>29214305.067477997</v>
      </c>
      <c r="F15" s="20">
        <f>F13*F14</f>
        <v>29658341.664960034</v>
      </c>
    </row>
    <row r="17" spans="1:2" x14ac:dyDescent="0.25">
      <c r="A17" s="22" t="s">
        <v>52</v>
      </c>
      <c r="B17" s="23">
        <f>SUM(B15:F15)</f>
        <v>143917326.1279036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35049145.17668908</v>
      </c>
    </row>
    <row r="5" spans="1:2" x14ac:dyDescent="0.25">
      <c r="A5" t="s">
        <v>56</v>
      </c>
      <c r="B5" s="18">
        <f>IF(Assumptions!$B$33=0,B4,B4-Forecast!F11-Forecast!F10-Forecast!F12)</f>
        <v>32317081.753651023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0.445022977760755</v>
      </c>
    </row>
    <row r="7" spans="1:2" x14ac:dyDescent="0.25">
      <c r="A7" t="s">
        <v>58</v>
      </c>
      <c r="B7" s="18">
        <f>-MAX(Forecast!F9,0)*B6</f>
        <v>-14381843.954547541</v>
      </c>
    </row>
    <row r="8" spans="1:2" x14ac:dyDescent="0.25">
      <c r="A8" t="s">
        <v>59</v>
      </c>
      <c r="B8" s="18">
        <f>IF(OR(Assumptions!$B$33=0,Assumptions!B12&lt;=0),B5,MAX(B5+B7,0))</f>
        <v>17935237.799103484</v>
      </c>
    </row>
    <row r="9" spans="1:2" x14ac:dyDescent="0.25">
      <c r="A9" t="s">
        <v>60</v>
      </c>
      <c r="B9" s="18">
        <f>B8*(1+Assumptions!B12)/(Assumptions!B26-Assumptions!B12)</f>
        <v>1435084979.8235934</v>
      </c>
    </row>
    <row r="10" spans="1:2" x14ac:dyDescent="0.25">
      <c r="A10" t="s">
        <v>61</v>
      </c>
      <c r="B10" s="18">
        <f>B9/(1+Assumptions!B26)^(5-0.5*Assumptions!B32)</f>
        <v>1214358879.090958</v>
      </c>
    </row>
    <row r="11" spans="1:2" x14ac:dyDescent="0.25">
      <c r="A11" t="s">
        <v>62</v>
      </c>
      <c r="B11" s="18">
        <f>Forecast!B17+B10</f>
        <v>1358276205.2188618</v>
      </c>
    </row>
    <row r="12" spans="1:2" x14ac:dyDescent="0.25">
      <c r="A12" t="s">
        <v>63</v>
      </c>
      <c r="B12" s="18">
        <f>-Assumptions!B30</f>
        <v>131624000</v>
      </c>
    </row>
    <row r="13" spans="1:2" x14ac:dyDescent="0.25">
      <c r="A13" t="s">
        <v>64</v>
      </c>
      <c r="B13" s="18">
        <f>B11+B12</f>
        <v>1489900205.2188618</v>
      </c>
    </row>
    <row r="14" spans="1:2" x14ac:dyDescent="0.25">
      <c r="A14" s="19" t="s">
        <v>65</v>
      </c>
      <c r="B14" s="24">
        <f>B13/Assumptions!B31</f>
        <v>15.121039241195946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95000643.26292546</v>
      </c>
    </row>
    <row r="18" spans="1:2" x14ac:dyDescent="0.25">
      <c r="A18" t="s">
        <v>60</v>
      </c>
      <c r="B18" s="18">
        <f>B17*Assumptions!B13</f>
        <v>760005146.1034037</v>
      </c>
    </row>
    <row r="19" spans="1:2" x14ac:dyDescent="0.25">
      <c r="A19" t="s">
        <v>61</v>
      </c>
      <c r="B19" s="18">
        <f>B18/(1+Assumptions!B26)^(5-0.5*Assumptions!B32)</f>
        <v>643111042.4129295</v>
      </c>
    </row>
    <row r="20" spans="1:2" x14ac:dyDescent="0.25">
      <c r="A20" t="s">
        <v>62</v>
      </c>
      <c r="B20" s="18">
        <f>Forecast!B17+B19</f>
        <v>787028368.5408331</v>
      </c>
    </row>
    <row r="21" spans="1:2" x14ac:dyDescent="0.25">
      <c r="A21" t="s">
        <v>63</v>
      </c>
      <c r="B21" s="18">
        <f>-Assumptions!B30</f>
        <v>131624000</v>
      </c>
    </row>
    <row r="22" spans="1:2" x14ac:dyDescent="0.25">
      <c r="A22" t="s">
        <v>64</v>
      </c>
      <c r="B22" s="18">
        <f>B20+B21</f>
        <v>918652368.5408331</v>
      </c>
    </row>
    <row r="23" spans="1:2" x14ac:dyDescent="0.25">
      <c r="A23" s="19" t="s">
        <v>65</v>
      </c>
      <c r="B23" s="25">
        <f>B22/Assumptions!B31</f>
        <v>9.323428820981333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15.121039241195946</v>
      </c>
    </row>
    <row r="29" spans="1:2" x14ac:dyDescent="0.25">
      <c r="A29" s="19" t="s">
        <v>73</v>
      </c>
      <c r="B29" s="12">
        <f>B28/B26-1</f>
        <v>-0.5061711547617261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0.01781</v>
      </c>
      <c r="B5" s="31">
        <v>83.07770636958897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0.02781</v>
      </c>
      <c r="B6" s="31">
        <v>19.669718832825076</v>
      </c>
      <c r="C6" s="31">
        <v>27.214959897721066</v>
      </c>
      <c r="D6" s="31">
        <v>61.51976892190058</v>
      </c>
      <c r="E6" s="31" t="s">
        <v>76</v>
      </c>
      <c r="F6" s="31" t="s">
        <v>76</v>
      </c>
    </row>
    <row r="7" spans="1:6" x14ac:dyDescent="0.25">
      <c r="A7" s="30">
        <v>0.03781</v>
      </c>
      <c r="B7" s="31">
        <v>11.848858271362221</v>
      </c>
      <c r="C7" s="31">
        <v>13.032611802729194</v>
      </c>
      <c r="D7" s="32">
        <v>15.121167174097792</v>
      </c>
      <c r="E7" s="31">
        <v>19.85230000646985</v>
      </c>
      <c r="F7" s="31">
        <v>41.33229567886746</v>
      </c>
    </row>
    <row r="8" spans="1:6" x14ac:dyDescent="0.25">
      <c r="A8" s="30">
        <v>0.04781</v>
      </c>
      <c r="B8" s="31">
        <v>8.789144974829673</v>
      </c>
      <c r="C8" s="31">
        <v>9.040123273755478</v>
      </c>
      <c r="D8" s="31">
        <v>9.390759280930437</v>
      </c>
      <c r="E8" s="31">
        <v>9.92498705720448</v>
      </c>
      <c r="F8" s="31">
        <v>10.857785254918456</v>
      </c>
    </row>
    <row r="9" spans="1:6" x14ac:dyDescent="0.25">
      <c r="A9" s="30">
        <v>0.05781</v>
      </c>
      <c r="B9" s="31">
        <v>7.199947389225728</v>
      </c>
      <c r="C9" s="31">
        <v>7.221976102235515</v>
      </c>
      <c r="D9" s="31">
        <v>7.244004815245301</v>
      </c>
      <c r="E9" s="31">
        <v>7.266033528255086</v>
      </c>
      <c r="F9" s="31">
        <v>7.288062241264872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5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33" t="s">
        <v>83</v>
      </c>
    </row>
    <row r="5" spans="1:5" x14ac:dyDescent="0.25">
      <c r="A5" t="s">
        <v>43</v>
      </c>
      <c r="B5" s="18">
        <v>2008562000</v>
      </c>
      <c r="C5" s="18">
        <v>1720956000</v>
      </c>
      <c r="D5" s="18">
        <v>1809451000</v>
      </c>
      <c r="E5" s="8" t="s">
        <v>84</v>
      </c>
    </row>
    <row r="6" spans="1:5" x14ac:dyDescent="0.25">
      <c r="A6" t="s">
        <v>44</v>
      </c>
      <c r="B6" s="18">
        <v>37868000</v>
      </c>
      <c r="C6" s="18">
        <v>26028000</v>
      </c>
      <c r="D6" s="18">
        <v>33679000</v>
      </c>
      <c r="E6" s="8" t="s">
        <v>85</v>
      </c>
    </row>
    <row r="7" spans="1:5" x14ac:dyDescent="0.25">
      <c r="A7" t="s">
        <v>86</v>
      </c>
      <c r="B7" s="18">
        <v>38466000</v>
      </c>
      <c r="C7" s="18">
        <v>33157000</v>
      </c>
      <c r="D7" s="18">
        <v>33097000</v>
      </c>
      <c r="E7" s="8" t="s">
        <v>87</v>
      </c>
    </row>
    <row r="8" spans="1:5" x14ac:dyDescent="0.25">
      <c r="A8" t="s">
        <v>88</v>
      </c>
      <c r="B8" s="18">
        <v>88882000</v>
      </c>
      <c r="C8" s="18">
        <v>19042000</v>
      </c>
      <c r="D8" s="18">
        <v>9856000</v>
      </c>
      <c r="E8" s="8" t="s">
        <v>89</v>
      </c>
    </row>
    <row r="9" spans="1:5" x14ac:dyDescent="0.25">
      <c r="A9" t="s">
        <v>90</v>
      </c>
      <c r="B9" s="18">
        <v>-17418000</v>
      </c>
      <c r="C9" s="18">
        <v>2990000</v>
      </c>
      <c r="D9" s="18">
        <v>0</v>
      </c>
      <c r="E9" s="8" t="s">
        <v>91</v>
      </c>
    </row>
    <row r="10" spans="1:5" x14ac:dyDescent="0.25">
      <c r="A10" t="s">
        <v>92</v>
      </c>
      <c r="B10" s="18">
        <v>94240000</v>
      </c>
      <c r="C10" s="18">
        <v>88728000</v>
      </c>
      <c r="D10" s="18">
        <v>109480000</v>
      </c>
      <c r="E10" s="8" t="s">
        <v>93</v>
      </c>
    </row>
    <row r="11" spans="1:5" x14ac:dyDescent="0.25">
      <c r="A11" t="s">
        <v>94</v>
      </c>
      <c r="B11" s="18">
        <v>225864000</v>
      </c>
      <c r="C11" s="18">
        <v>178323000</v>
      </c>
      <c r="D11" s="18">
        <v>183329000</v>
      </c>
      <c r="E11" s="8" t="s">
        <v>95</v>
      </c>
    </row>
    <row r="12" spans="1:5" x14ac:dyDescent="0.25">
      <c r="A12" t="s">
        <v>32</v>
      </c>
      <c r="B12" s="34">
        <v>98531601</v>
      </c>
      <c r="C12" s="34">
        <v>97315522</v>
      </c>
      <c r="D12" s="34">
        <v>95744408</v>
      </c>
      <c r="E12" s="8" t="s">
        <v>96</v>
      </c>
    </row>
    <row r="15" spans="1:1" x14ac:dyDescent="0.25">
      <c r="A15" s="19" t="s">
        <v>97</v>
      </c>
    </row>
    <row r="16" ht="70" customHeight="1" spans="1:5" x14ac:dyDescent="0.25">
      <c r="A16" s="35" t="s">
        <v>98</v>
      </c>
      <c r="B16" s="35"/>
      <c r="C16" s="35"/>
      <c r="D16" s="35"/>
      <c r="E16" s="35"/>
    </row>
    <row r="17" ht="22" customHeight="1" spans="1:5" x14ac:dyDescent="0.25">
      <c r="A17" s="35" t="s">
        <v>99</v>
      </c>
      <c r="B17" s="35"/>
      <c r="C17" s="35"/>
      <c r="D17" s="35"/>
      <c r="E17" s="35"/>
    </row>
    <row r="18" ht="22" customHeight="1" spans="1:5" x14ac:dyDescent="0.25">
      <c r="A18" s="35" t="s">
        <v>100</v>
      </c>
      <c r="B18" s="35"/>
      <c r="C18" s="35"/>
      <c r="D18" s="35"/>
      <c r="E18" s="35"/>
    </row>
    <row r="19" ht="22" customHeight="1" spans="1:5" x14ac:dyDescent="0.25">
      <c r="A19" s="35" t="s">
        <v>101</v>
      </c>
      <c r="B19" s="35"/>
      <c r="C19" s="35"/>
      <c r="D19" s="35"/>
      <c r="E19" s="35"/>
    </row>
    <row r="21" spans="1:1" x14ac:dyDescent="0.25">
      <c r="A21" s="36" t="s">
        <v>102</v>
      </c>
    </row>
  </sheetData>
  <mergeCells count="4">
    <mergeCell ref="A16:E16"/>
    <mergeCell ref="A17:E17"/>
    <mergeCell ref="A18:E18"/>
    <mergeCell ref="A19:E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2026-09-19T00:06:38Z</dcterms:modified>
</cp:coreProperties>
</file>