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<sst xmlns="http://schemas.openxmlformats.org/spreadsheetml/2006/main" count="116" uniqueCount="104">
  <si>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M&amp;G plc (MNG.L)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</si>
  <si>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</si>
  <si>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</si>
  <si>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</si>
  <si>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</si>
  <si>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</si>
  <si>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</si>
  <si>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</si>
  <si>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</si>
  <si>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</si>
  <si>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</si>
  <si>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</si>
  <si>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</si>
  <si>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</si>
  <si>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</si>
  <si>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</si>
  <si>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</si>
  <si>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</si>
  <si>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</si>
  <si>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</si>
  <si>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</si>
  <si>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</si>
  <si>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</si>
  <si>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</si>
  <si>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</si>
  <si>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</si>
  <si>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</si>
  <si>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</si>
  <si>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</si>
  <si>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</si>
  <si>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</si>
  <si>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</si>
  <si>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</si>
  <si>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</si>
  <si>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</si>
  <si>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</si>
  <si>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</si>
  <si>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</si>
  <si>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</si>
  <si>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</si>
  <si>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</si>
  <si>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</si>
  <si>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</si>
  <si>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</si>
  <si>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</si>
  <si>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</si>
  <si>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</si>
  <si>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</si>
  <si>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</si>
  <si>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</si>
  <si>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</si>
  <si>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</si>
  <si>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</si>
  <si>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</si>
  <si>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</si>
  <si>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</si>
  <si>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</si>
  <si>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</si>
  <si>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</si>
  <si>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</si>
  <si>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</si>
  <si>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</si>
  <si>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</si>
  <si>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</si>
  <si>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</si>
  <si>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</si>
  <si>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</si>
  <si>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</si>
  <si>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</si>
  <si>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</si>
  <si>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</si>
  <si>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</si>
  <si>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</si>
  <si>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</si>
  <si>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</si>
  <si>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</si>
  <si>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</si>
  <si>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</si>
  <si>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</si>
  <si>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</si>
  <si>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</si>
  <si>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</si>
  <si>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</si>
  <si>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</si>
  <si>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</si>
  <si>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</si>
  <si>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</si>
  <si>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</si>
  <si>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</si>
  <si>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</si>
  <si>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</si>
  <si>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</si>
  <si>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</si>
  <si>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</si>
  <si>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</si>
  <si>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</si>
  <si>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</si>
  <si>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</si>
  <si>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Only 3 year(s) of history available to anchor assumptions on.</t>
  </si>
  <si>
    <t>Adjusted: Consensus rests on as few as 1 analyst estimate(s).</t>
  </si>
  <si>
    <t>Adjusted: Free cashflow is negative in at least one forecast year, so terminal value carries most of the valuation.</t>
  </si>
  <si>
    <t>Adjusted: Capital expenditure runs at 2.1% of revenue against depreciation of 1.1%.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</si>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</sst>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0.24969966902013985</v>
      </c>
    </row>
    <row r="7" spans="1:2" x14ac:dyDescent="0.25">
      <c r="A7" t="s">
        <v>5</v>
      </c>
      <c r="B7" s="6">
        <v>0.04137773717880875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0.011150282213549615</v>
      </c>
    </row>
    <row r="10" spans="1:2" x14ac:dyDescent="0.25">
      <c r="A10" t="s">
        <v>8</v>
      </c>
      <c r="B10" s="6">
        <v>0.021173943444773784</v>
      </c>
    </row>
    <row r="11" spans="1:2" x14ac:dyDescent="0.25">
      <c r="A11" t="s">
        <v>9</v>
      </c>
      <c r="B11" s="6">
        <v>0.5345708286322802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6.769300511156187</v>
      </c>
    </row>
    <row r="14" spans="1:3" x14ac:dyDescent="0.25">
      <c r="A14" t="s">
        <v>12</v>
      </c>
      <c r="B14" s="6">
        <v>0.07598406611201636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0.96583</v>
      </c>
      <c r="C19" s="8" t="s">
        <v>19</v>
      </c>
    </row>
    <row r="20" spans="1:2" x14ac:dyDescent="0.25">
      <c r="A20" t="s">
        <v>20</v>
      </c>
      <c r="B20" s="10">
        <f>B17+B19*B18</f>
        <v>0.09812065</v>
      </c>
    </row>
    <row r="21" spans="1:3" x14ac:dyDescent="0.25">
      <c r="A21" t="s">
        <v>21</v>
      </c>
      <c r="B21" s="6">
        <v>0.06713448600159155</v>
      </c>
      <c r="C21" s="8" t="s">
        <v>22</v>
      </c>
    </row>
    <row r="22" spans="1:2" x14ac:dyDescent="0.25">
      <c r="A22" t="s">
        <v>23</v>
      </c>
      <c r="B22" s="11">
        <v>8003795456</v>
      </c>
    </row>
    <row r="23" spans="1:2" x14ac:dyDescent="0.25">
      <c r="A23" t="s">
        <v>24</v>
      </c>
      <c r="B23" s="11">
        <v>6912000000</v>
      </c>
    </row>
    <row r="24" spans="1:2" x14ac:dyDescent="0.25">
      <c r="A24" t="s">
        <v>25</v>
      </c>
      <c r="B24" s="10">
        <f>B22/(B22+B23)</f>
        <v>0.5365986332817676</v>
      </c>
    </row>
    <row r="25" spans="1:2" x14ac:dyDescent="0.25">
      <c r="A25" t="s">
        <v>26</v>
      </c>
      <c r="B25" s="10">
        <f>1-B24</f>
        <v>0.4634013667182324</v>
      </c>
    </row>
    <row r="26" spans="1:2" x14ac:dyDescent="0.25">
      <c r="A26" t="s">
        <v>27</v>
      </c>
      <c r="B26" s="12">
        <f>B24*B20+B25*B21*(1-B8)</f>
        <v>0.07598406611201636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21713000000</v>
      </c>
      <c r="C29" s="8" t="s">
        <v>30</v>
      </c>
    </row>
    <row r="30" spans="1:2" x14ac:dyDescent="0.25">
      <c r="A30" t="s">
        <v>31</v>
      </c>
      <c r="B30" s="11">
        <v>2008000000</v>
      </c>
    </row>
    <row r="31" spans="1:2" x14ac:dyDescent="0.25">
      <c r="A31" t="s">
        <v>32</v>
      </c>
      <c r="B31" s="13">
        <v>2460000000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0.24969966902013985</v>
      </c>
      <c r="C5" s="10">
        <f>Assumptions!B6</f>
        <v>0.24969966902013985</v>
      </c>
      <c r="D5" s="10">
        <f>Assumptions!B6</f>
        <v>0.24969966902013985</v>
      </c>
      <c r="E5" s="10">
        <f>Assumptions!B6</f>
        <v>0.24969966902013985</v>
      </c>
      <c r="F5" s="10">
        <f>Assumptions!B6</f>
        <v>0.24969966902013985</v>
      </c>
    </row>
    <row r="6" spans="1:6" x14ac:dyDescent="0.25">
      <c r="A6" t="s">
        <v>43</v>
      </c>
      <c r="B6" s="18">
        <f>Assumptions!B29*(1+B5)</f>
        <v>27134728913.434296</v>
      </c>
      <c r="C6" s="18">
        <f>B6*(1+C5)</f>
        <v>33910261742.070057</v>
      </c>
      <c r="D6" s="18">
        <f>C6*(1+D5)</f>
        <v>42377642875.45126</v>
      </c>
      <c r="E6" s="18">
        <f>D6*(1+E5)</f>
        <v>52959326275.30513</v>
      </c>
      <c r="F6" s="18">
        <f>E6*(1+F5)</f>
        <v>66183252517.77842</v>
      </c>
    </row>
    <row r="7" spans="1:6" x14ac:dyDescent="0.25">
      <c r="A7" t="s">
        <v>5</v>
      </c>
      <c r="B7" s="10">
        <f>Assumptions!B7</f>
        <v>0.04137773717880875</v>
      </c>
      <c r="C7" s="10">
        <f>Assumptions!B7</f>
        <v>0.04137773717880875</v>
      </c>
      <c r="D7" s="10">
        <f>Assumptions!B7</f>
        <v>0.04137773717880875</v>
      </c>
      <c r="E7" s="10">
        <f>Assumptions!B7</f>
        <v>0.04137773717880875</v>
      </c>
      <c r="F7" s="10">
        <f>Assumptions!B7</f>
        <v>0.04137773717880875</v>
      </c>
    </row>
    <row r="8" spans="1:6" x14ac:dyDescent="0.25">
      <c r="A8" t="s">
        <v>44</v>
      </c>
      <c r="B8" s="18">
        <f>B6*B7</f>
        <v>1122773681.398307</v>
      </c>
      <c r="C8" s="18">
        <f>C6*C7</f>
        <v>1403129898.0279882</v>
      </c>
      <c r="D8" s="18">
        <f>D6*D7</f>
        <v>1753490969.1578395</v>
      </c>
      <c r="E8" s="18">
        <f>E6*E7</f>
        <v>2191337083.7863564</v>
      </c>
      <c r="F8" s="18">
        <f>F6*F7</f>
        <v>2738513228.319368</v>
      </c>
    </row>
    <row r="9" spans="1:6" x14ac:dyDescent="0.25">
      <c r="A9" t="s">
        <v>45</v>
      </c>
      <c r="B9" s="18">
        <f>B8*(1-Assumptions!B8)</f>
        <v>842080261.0487304</v>
      </c>
      <c r="C9" s="18">
        <f>C8*(1-Assumptions!B8)</f>
        <v>1052347423.5209911</v>
      </c>
      <c r="D9" s="18">
        <f>D8*(1-Assumptions!B8)</f>
        <v>1315118226.8683796</v>
      </c>
      <c r="E9" s="18">
        <f>E8*(1-Assumptions!B8)</f>
        <v>1643502812.8397675</v>
      </c>
      <c r="F9" s="18">
        <f>F8*(1-Assumptions!B8)</f>
        <v>2053884921.2395258</v>
      </c>
    </row>
    <row r="10" spans="1:6" x14ac:dyDescent="0.25">
      <c r="A10" t="s">
        <v>46</v>
      </c>
      <c r="B10" s="18">
        <f>B6*Assumptions!B9</f>
        <v>302559885.1729569</v>
      </c>
      <c r="C10" s="18">
        <f>C6*Assumptions!B9</f>
        <v>378108988.3594157</v>
      </c>
      <c r="D10" s="18">
        <f>D6*Assumptions!B9</f>
        <v>472522677.6063018</v>
      </c>
      <c r="E10" s="18">
        <f>E6*Assumptions!B9</f>
        <v>590511433.8091055</v>
      </c>
      <c r="F10" s="18">
        <f>F6*Assumptions!B9</f>
        <v>737961943.3838475</v>
      </c>
    </row>
    <row r="11" spans="1:6" x14ac:dyDescent="0.25">
      <c r="A11" t="s">
        <v>47</v>
      </c>
      <c r="B11" s="18">
        <f>-B6*Assumptions!B10</f>
        <v>-574549215.4023257</v>
      </c>
      <c r="C11" s="18">
        <f>-C6*Assumptions!B10</f>
        <v>-718013964.3240675</v>
      </c>
      <c r="D11" s="18">
        <f>-D6*Assumptions!B10</f>
        <v>-897301813.5676258</v>
      </c>
      <c r="E11" s="18">
        <f>-E6*Assumptions!B10</f>
        <v>-1121357779.4266331</v>
      </c>
      <c r="F11" s="18">
        <f>-F6*Assumptions!B10</f>
        <v>-1401360445.8026223</v>
      </c>
    </row>
    <row r="12" spans="1:6" x14ac:dyDescent="0.25">
      <c r="A12" t="s">
        <v>48</v>
      </c>
      <c r="B12" s="18">
        <f>-(B6-Assumptions!B29)*Assumptions!B11</f>
        <v>-2898298117.8741636</v>
      </c>
      <c r="C12" s="18">
        <f>-(C6-B6)*Assumptions!B11</f>
        <v>-3622002198.6290364</v>
      </c>
      <c r="D12" s="18">
        <f>-(D6-C6)*Assumptions!B11</f>
        <v>-4526414948.816928</v>
      </c>
      <c r="E12" s="18">
        <f>-(E6-D6)*Assumptions!B11</f>
        <v>-5656659263.384326</v>
      </c>
      <c r="F12" s="18">
        <f>-(F6-E6)*Assumptions!B11</f>
        <v>-7069125209.2111025</v>
      </c>
    </row>
    <row r="13" spans="1:6" x14ac:dyDescent="0.25">
      <c r="A13" s="19" t="s">
        <v>49</v>
      </c>
      <c r="B13" s="20">
        <f>B9+B10+B11+B12</f>
        <v>-2328207187.054802</v>
      </c>
      <c r="C13" s="20">
        <f>C9+C10+C11+C12</f>
        <v>-2909559751.072697</v>
      </c>
      <c r="D13" s="20">
        <f>D9+D10+D11+D12</f>
        <v>-3636075857.909872</v>
      </c>
      <c r="E13" s="20">
        <f>E9+E10+E11+E12</f>
        <v>-4544002796.1620865</v>
      </c>
      <c r="F13" s="20">
        <f>F9+F10+F11+F12</f>
        <v>-5678638790.390352</v>
      </c>
    </row>
    <row r="14" spans="1:6" x14ac:dyDescent="0.25">
      <c r="A14" t="s">
        <v>50</v>
      </c>
      <c r="B14" s="21">
        <f>1/(1+Assumptions!$B$26)^(1-0.5*Assumptions!$B$32)</f>
        <v>0.9640444971265276</v>
      </c>
      <c r="C14" s="21">
        <f>1/(1+Assumptions!$B$26)^(2-0.5*Assumptions!$B$32)</f>
        <v>0.8959654027313121</v>
      </c>
      <c r="D14" s="21">
        <f>1/(1+Assumptions!$B$26)^(3-0.5*Assumptions!$B$32)</f>
        <v>0.8326939319545991</v>
      </c>
      <c r="E14" s="21">
        <f>1/(1+Assumptions!$B$26)^(4-0.5*Assumptions!$B$32)</f>
        <v>0.7738905790338262</v>
      </c>
      <c r="F14" s="21">
        <f>1/(1+Assumptions!$B$26)^(5-0.5*Assumptions!$B$32)</f>
        <v>0.71923981349484</v>
      </c>
    </row>
    <row r="15" spans="1:6" x14ac:dyDescent="0.25">
      <c r="A15" s="19" t="s">
        <v>51</v>
      </c>
      <c r="B15" s="20">
        <f>B13*B14</f>
        <v>-2244495326.850614</v>
      </c>
      <c r="C15" s="20">
        <f>C13*C14</f>
        <v>-2606864874.140665</v>
      </c>
      <c r="D15" s="20">
        <f>D13*D14</f>
        <v>-3027738303.0081635</v>
      </c>
      <c r="E15" s="20">
        <f>E13*E14</f>
        <v>-3516560955.053202</v>
      </c>
      <c r="F15" s="20">
        <f>F13*F14</f>
        <v>-4084303104.504921</v>
      </c>
    </row>
    <row r="17" spans="1:2" x14ac:dyDescent="0.25">
      <c r="A17" s="22" t="s">
        <v>52</v>
      </c>
      <c r="B17" s="23">
        <f>SUM(B15:F15)</f>
        <v>-15479962563.557566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-5678638790.390352</v>
      </c>
    </row>
    <row r="5" spans="1:2" x14ac:dyDescent="0.25">
      <c r="A5" t="s">
        <v>56</v>
      </c>
      <c r="B5" s="18">
        <f>IF(Assumptions!$B$33=0,B4,B4-Forecast!F11-Forecast!F10-Forecast!F12)</f>
        <v>2053884921.2395258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0.3290163488111414</v>
      </c>
    </row>
    <row r="7" spans="1:2" x14ac:dyDescent="0.25">
      <c r="A7" t="s">
        <v>58</v>
      </c>
      <c r="B7" s="18">
        <f>-MAX(Forecast!F9,0)*B6</f>
        <v>-675761717.6644875</v>
      </c>
    </row>
    <row r="8" spans="1:2" x14ac:dyDescent="0.25">
      <c r="A8" t="s">
        <v>59</v>
      </c>
      <c r="B8" s="18">
        <f>IF(OR(Assumptions!$B$33=0,Assumptions!B12&lt;=0),B5,MAX(B5+B7,0))</f>
        <v>1378123203.5750384</v>
      </c>
    </row>
    <row r="9" spans="1:2" x14ac:dyDescent="0.25">
      <c r="A9" t="s">
        <v>60</v>
      </c>
      <c r="B9" s="18">
        <f>B8*(1+Assumptions!B12)/(Assumptions!B26-Assumptions!B12)</f>
        <v>27706230424.243984</v>
      </c>
    </row>
    <row r="10" spans="1:2" x14ac:dyDescent="0.25">
      <c r="A10" t="s">
        <v>61</v>
      </c>
      <c r="B10" s="18">
        <f>B9/(1+Assumptions!B26)^(5-0.5*Assumptions!B32)</f>
        <v>19927424002.978306</v>
      </c>
    </row>
    <row r="11" spans="1:2" x14ac:dyDescent="0.25">
      <c r="A11" t="s">
        <v>62</v>
      </c>
      <c r="B11" s="18">
        <f>Forecast!B17+B10</f>
        <v>4447461439.42074</v>
      </c>
    </row>
    <row r="12" spans="1:2" x14ac:dyDescent="0.25">
      <c r="A12" t="s">
        <v>63</v>
      </c>
      <c r="B12" s="18">
        <f>-Assumptions!B30</f>
        <v>-2008000000</v>
      </c>
    </row>
    <row r="13" spans="1:2" x14ac:dyDescent="0.25">
      <c r="A13" t="s">
        <v>64</v>
      </c>
      <c r="B13" s="18">
        <f>B11+B12</f>
        <v>2439461439.42074</v>
      </c>
    </row>
    <row r="14" spans="1:2" x14ac:dyDescent="0.25">
      <c r="A14" s="19" t="s">
        <v>65</v>
      </c>
      <c r="B14" s="24">
        <f>B13/Assumptions!B31</f>
        <v>0.9916509916344473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3476475171.7032156</v>
      </c>
    </row>
    <row r="18" spans="1:2" x14ac:dyDescent="0.25">
      <c r="A18" t="s">
        <v>60</v>
      </c>
      <c r="B18" s="18">
        <f>B17*Assumptions!B13</f>
        <v>23533305156.83237</v>
      </c>
    </row>
    <row r="19" spans="1:2" x14ac:dyDescent="0.25">
      <c r="A19" t="s">
        <v>61</v>
      </c>
      <c r="B19" s="18">
        <f>B18/(1+Assumptions!B26)^(5-0.5*Assumptions!B32)</f>
        <v>16926090011.91727</v>
      </c>
    </row>
    <row r="20" spans="1:2" x14ac:dyDescent="0.25">
      <c r="A20" t="s">
        <v>62</v>
      </c>
      <c r="B20" s="18">
        <f>Forecast!B17+B19</f>
        <v>1446127448.359705</v>
      </c>
    </row>
    <row r="21" spans="1:2" x14ac:dyDescent="0.25">
      <c r="A21" t="s">
        <v>63</v>
      </c>
      <c r="B21" s="18">
        <f>-Assumptions!B30</f>
        <v>-2008000000</v>
      </c>
    </row>
    <row r="22" spans="1:2" x14ac:dyDescent="0.25">
      <c r="A22" t="s">
        <v>64</v>
      </c>
      <c r="B22" s="18">
        <f>B20+B21</f>
        <v>-561872551.640295</v>
      </c>
    </row>
    <row r="23" spans="1:2" x14ac:dyDescent="0.25">
      <c r="A23" s="19" t="s">
        <v>65</v>
      </c>
      <c r="B23" s="25">
        <f>B22/Assumptions!B31</f>
        <v>-0.2284034762765427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332.1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99.16509916344472</v>
      </c>
    </row>
    <row r="29" spans="1:2" x14ac:dyDescent="0.25">
      <c r="A29" s="19" t="s">
        <v>73</v>
      </c>
      <c r="B29" s="12">
        <f>B28/B26-1</f>
        <v>-0.7013998820733371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0.055984</v>
      </c>
      <c r="B5" s="31">
        <v>4.396188133464345</v>
      </c>
      <c r="C5" s="31">
        <v>4.454544609445239</v>
      </c>
      <c r="D5" s="31">
        <v>4.51290108542613</v>
      </c>
      <c r="E5" s="31">
        <v>4.571257561407021</v>
      </c>
      <c r="F5" s="31">
        <v>4.629614037387918</v>
      </c>
    </row>
    <row r="6" spans="1:6" x14ac:dyDescent="0.25">
      <c r="A6" s="30">
        <v>0.065984</v>
      </c>
      <c r="B6" s="31">
        <v>2.3576880841550096</v>
      </c>
      <c r="C6" s="31">
        <v>2.405144428082829</v>
      </c>
      <c r="D6" s="31">
        <v>2.452600772010648</v>
      </c>
      <c r="E6" s="31">
        <v>2.500057115938469</v>
      </c>
      <c r="F6" s="31">
        <v>2.5475134598662863</v>
      </c>
    </row>
    <row r="7" spans="1:6" x14ac:dyDescent="0.25">
      <c r="A7" s="30">
        <v>0.075984</v>
      </c>
      <c r="B7" s="31">
        <v>0.9126290700073056</v>
      </c>
      <c r="C7" s="31">
        <v>0.9521441341580709</v>
      </c>
      <c r="D7" s="32">
        <v>0.9916591983088346</v>
      </c>
      <c r="E7" s="31">
        <v>1.0311742624595999</v>
      </c>
      <c r="F7" s="31">
        <v>1.0706893266103605</v>
      </c>
    </row>
    <row r="8" spans="1:6" x14ac:dyDescent="0.25">
      <c r="A8" s="30">
        <v>0.085984</v>
      </c>
      <c r="B8" s="31">
        <v>-0.14912714289292436</v>
      </c>
      <c r="C8" s="31">
        <v>-0.11563152924606819</v>
      </c>
      <c r="D8" s="31">
        <v>-0.08213591559921513</v>
      </c>
      <c r="E8" s="31">
        <v>-0.04864030195236051</v>
      </c>
      <c r="F8" s="31">
        <v>-0.015144688305506667</v>
      </c>
    </row>
    <row r="9" spans="1:6" x14ac:dyDescent="0.25">
      <c r="A9" s="30">
        <v>0.095984</v>
      </c>
      <c r="B9" s="31">
        <v>-0.9499555511708369</v>
      </c>
      <c r="C9" s="31">
        <v>-0.9211621348976926</v>
      </c>
      <c r="D9" s="31">
        <v>-0.8923687186245499</v>
      </c>
      <c r="E9" s="31">
        <v>-0.863575302351405</v>
      </c>
      <c r="F9" s="31">
        <v>-0.8347818860782639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21713000000</v>
      </c>
      <c r="C5" s="18">
        <v>14606000000</v>
      </c>
      <c r="D5" s="18">
        <v>13903000000</v>
      </c>
      <c r="E5" s="8" t="s">
        <v>83</v>
      </c>
    </row>
    <row r="6" spans="1:5" x14ac:dyDescent="0.25">
      <c r="A6" t="s">
        <v>44</v>
      </c>
      <c r="B6" s="18">
        <v>1310000000</v>
      </c>
      <c r="C6" s="18">
        <v>145000000</v>
      </c>
      <c r="D6" s="18">
        <v>749000000</v>
      </c>
      <c r="E6" s="8" t="s">
        <v>84</v>
      </c>
    </row>
    <row r="7" spans="1:5" x14ac:dyDescent="0.25">
      <c r="A7" t="s">
        <v>85</v>
      </c>
      <c r="B7" s="18">
        <v>169000000</v>
      </c>
      <c r="C7" s="18">
        <v>190000000</v>
      </c>
      <c r="D7" s="18">
        <v>176000000</v>
      </c>
      <c r="E7" s="8" t="s">
        <v>86</v>
      </c>
    </row>
    <row r="8" spans="1:5" x14ac:dyDescent="0.25">
      <c r="A8" t="s">
        <v>87</v>
      </c>
      <c r="B8" s="18">
        <v>175000000</v>
      </c>
      <c r="C8" s="18">
        <v>289000000</v>
      </c>
      <c r="D8" s="18">
        <v>496000000</v>
      </c>
      <c r="E8" s="8" t="s">
        <v>88</v>
      </c>
    </row>
    <row r="9" spans="1:5" x14ac:dyDescent="0.25">
      <c r="A9" t="s">
        <v>89</v>
      </c>
      <c r="B9" s="18">
        <v>-5544000000</v>
      </c>
      <c r="C9" s="18">
        <v>1300000000</v>
      </c>
      <c r="D9" s="18">
        <v>-838000000</v>
      </c>
      <c r="E9" s="8" t="s">
        <v>90</v>
      </c>
    </row>
    <row r="10" spans="1:5" x14ac:dyDescent="0.25">
      <c r="A10" t="s">
        <v>91</v>
      </c>
      <c r="B10" s="18">
        <v>6912000000</v>
      </c>
      <c r="C10" s="18">
        <v>6911000000</v>
      </c>
      <c r="D10" s="18">
        <v>8034000000</v>
      </c>
      <c r="E10" s="8" t="s">
        <v>92</v>
      </c>
    </row>
    <row r="11" spans="1:5" x14ac:dyDescent="0.25">
      <c r="A11" t="s">
        <v>93</v>
      </c>
      <c r="B11" s="18">
        <v>4904000000</v>
      </c>
      <c r="C11" s="18">
        <v>4838000000</v>
      </c>
      <c r="D11" s="18">
        <v>5148000000</v>
      </c>
      <c r="E11" s="8" t="s">
        <v>94</v>
      </c>
    </row>
    <row r="12" spans="1:5" x14ac:dyDescent="0.25">
      <c r="A12" t="s">
        <v>32</v>
      </c>
      <c r="B12" s="34">
        <v>2460000000</v>
      </c>
      <c r="C12" s="34">
        <v>2388000000</v>
      </c>
      <c r="D12" s="34">
        <v>2396000000</v>
      </c>
      <c r="E12" s="8" t="s">
        <v>95</v>
      </c>
    </row>
    <row r="15" spans="1:1" x14ac:dyDescent="0.25">
      <c r="A15" s="19" t="s">
        <v>96</v>
      </c>
    </row>
    <row r="16" ht="54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8" ht="22" customHeight="1" spans="1:5" x14ac:dyDescent="0.25">
      <c r="A18" s="35" t="s">
        <v>99</v>
      </c>
      <c r="B18" s="35"/>
      <c r="C18" s="35"/>
      <c r="D18" s="35"/>
      <c r="E18" s="35"/>
    </row>
    <row r="19" ht="22" customHeight="1" spans="1:5" x14ac:dyDescent="0.25">
      <c r="A19" s="35" t="s">
        <v>100</v>
      </c>
      <c r="B19" s="35"/>
      <c r="C19" s="35"/>
      <c r="D19" s="35"/>
      <c r="E19" s="35"/>
    </row>
    <row r="20" ht="54" customHeight="1" spans="1:5" x14ac:dyDescent="0.25">
      <c r="A20" s="35" t="s">
        <v>101</v>
      </c>
      <c r="B20" s="35"/>
      <c r="C20" s="35"/>
      <c r="D20" s="35"/>
      <c r="E20" s="35"/>
    </row>
    <row r="21" ht="22" customHeight="1" spans="1:5" x14ac:dyDescent="0.25">
      <c r="A21" s="35" t="s">
        <v>102</v>
      </c>
      <c r="B21" s="35"/>
      <c r="C21" s="35"/>
      <c r="D21" s="35"/>
      <c r="E21" s="35"/>
    </row>
    <row r="23" spans="1:1" x14ac:dyDescent="0.25">
      <c r="A23" s="36" t="s">
        <v>103</v>
      </c>
    </row>
  </sheetData>
  <mergeCells count="6">
    <mergeCell ref="A16:E16"/>
    <mergeCell ref="A17:E17"/>
    <mergeCell ref="A18:E18"/>
    <mergeCell ref="A19:E19"/>
    <mergeCell ref="A20:E20"/>
    <mergeCell ref="A21:E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2026-09-19T00:07:55Z</dcterms:modified>
</cp:coreProperties>
</file>