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<sst xmlns="http://schemas.openxmlformats.org/spreadsheetml/2006/main" count="122" uniqueCount="109">
  <si>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Monster Beverage Corporation (MNST)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</si>
  <si>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</si>
  <si>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</si>
  <si>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</si>
  <si>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</si>
  <si>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</si>
  <si>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</si>
  <si>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</si>
  <si>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</si>
  <si>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</si>
  <si>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</si>
  <si>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</si>
  <si>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</si>
  <si>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</si>
  <si>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</si>
  <si>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</si>
  <si>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</si>
  <si>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</si>
  <si>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</si>
  <si>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</si>
  <si>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</si>
  <si>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</si>
  <si>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</si>
  <si>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</si>
  <si>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</si>
  <si>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</si>
  <si>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</si>
  <si>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</si>
  <si>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</si>
  <si>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</si>
  <si>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</si>
  <si>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</si>
  <si>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</si>
  <si>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</si>
  <si>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</si>
  <si>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</si>
  <si>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</si>
  <si>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</si>
  <si>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</si>
  <si>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</si>
  <si>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</si>
  <si>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</si>
  <si>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</si>
  <si>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</si>
  <si>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</si>
  <si>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</si>
  <si>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</si>
  <si>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</si>
  <si>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</si>
  <si>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</si>
  <si>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</si>
  <si>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</si>
  <si>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</si>
  <si>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</si>
  <si>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</si>
  <si>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</si>
  <si>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</si>
  <si>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</si>
  <si>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</si>
  <si>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</si>
  <si>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</si>
  <si>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</si>
  <si>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</si>
  <si>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</si>
  <si>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</si>
  <si>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</si>
  <si>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</si>
  <si>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</si>
  <si>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</si>
  <si>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</si>
  <si>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</si>
  <si>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</si>
  <si>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</si>
  <si>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</si>
  <si>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</si>
  <si>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</si>
  <si>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</si>
  <si>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</si>
  <si>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</si>
  <si>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</si>
  <si>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</si>
  <si>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</si>
  <si>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</si>
  <si>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</si>
  <si>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</si>
  <si>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</si>
  <si>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</si>
  <si>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</si>
  <si>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</si>
  <si>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</si>
  <si>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</si>
  <si>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</si>
  <si>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</si>
  <si>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</si>
  <si>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</si>
  <si>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</si>
  <si>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</si>
  <si>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</si>
  <si>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</si>
  <si>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</si>
  <si>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derived</t>
  </si>
  <si>
    <t>Cash and equivalents</t>
  </si>
  <si>
    <t>cashCashEquivalentsAndShortTermInvestments</t>
  </si>
  <si>
    <t>dilutedAverageShares</t>
  </si>
  <si>
    <t>Model notes</t>
  </si>
  <si>
    <t>Adjusted: No debt figure was reported for the latest year, so the 2024-12-31 figure is used. Override net debt if it has changed.</t>
  </si>
  <si>
    <t>Adjusted: Capital expenditure runs at 3.2% of revenue against depreciation of 1.1%.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</si>
  <si>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35.7x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</si>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</sst>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0.17367274297674928</v>
      </c>
    </row>
    <row r="7" spans="1:2" x14ac:dyDescent="0.25">
      <c r="A7" t="s">
        <v>4</v>
      </c>
      <c r="B7" s="5">
        <v>0.26849772553716195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0.01097144055506771</v>
      </c>
    </row>
    <row r="10" spans="1:3" x14ac:dyDescent="0.25">
      <c r="A10" t="s">
        <v>7</v>
      </c>
      <c r="B10" s="5">
        <v>0.031595117497894724</v>
      </c>
      <c r="C10" s="6" t="s">
        <v>8</v>
      </c>
    </row>
    <row r="11" spans="1:2" x14ac:dyDescent="0.25">
      <c r="A11" t="s">
        <v>9</v>
      </c>
      <c r="B11" s="5">
        <v>0.22373932975892524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0.20954394250374386</v>
      </c>
      <c r="C14" s="6" t="s">
        <v>13</v>
      </c>
    </row>
    <row r="15" spans="1:3" x14ac:dyDescent="0.25">
      <c r="A15" t="s">
        <v>14</v>
      </c>
      <c r="B15" s="5">
        <v>0.01097144055506771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0.65964</v>
      </c>
      <c r="C19" s="6" t="s">
        <v>21</v>
      </c>
    </row>
    <row r="20" spans="1:2" x14ac:dyDescent="0.25">
      <c r="A20" t="s">
        <v>22</v>
      </c>
      <c r="B20" s="9">
        <f>B17+B19*B18</f>
        <v>0.076842772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92741509120</v>
      </c>
    </row>
    <row r="23" spans="1:2" x14ac:dyDescent="0.25">
      <c r="A23" t="s">
        <v>26</v>
      </c>
      <c r="B23" s="10">
        <v>373951000</v>
      </c>
    </row>
    <row r="24" spans="1:2" x14ac:dyDescent="0.25">
      <c r="A24" t="s">
        <v>27</v>
      </c>
      <c r="B24" s="9">
        <f>B22/(B22+B23)</f>
        <v>0.9959840073869787</v>
      </c>
    </row>
    <row r="25" spans="1:2" x14ac:dyDescent="0.25">
      <c r="A25" t="s">
        <v>28</v>
      </c>
      <c r="B25" s="9">
        <f>1-B24</f>
        <v>0.004015992613021324</v>
      </c>
    </row>
    <row r="26" spans="1:2" x14ac:dyDescent="0.25">
      <c r="A26" t="s">
        <v>29</v>
      </c>
      <c r="B26" s="11">
        <f>B24*B20+B25*B21*(1-B8)</f>
        <v>0.07675289339456985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8294343000</v>
      </c>
      <c r="C29" s="6" t="s">
        <v>32</v>
      </c>
    </row>
    <row r="30" spans="1:2" x14ac:dyDescent="0.25">
      <c r="A30" t="s">
        <v>33</v>
      </c>
      <c r="B30" s="10">
        <v>-2391250000</v>
      </c>
    </row>
    <row r="31" spans="1:2" x14ac:dyDescent="0.25">
      <c r="A31" t="s">
        <v>34</v>
      </c>
      <c r="B31" s="12">
        <v>1968902000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0.17367274297674928</v>
      </c>
      <c r="C5" s="5">
        <v>0.09618222656113762</v>
      </c>
      <c r="D5" s="5">
        <v>0.08728444824099542</v>
      </c>
      <c r="E5" s="5">
        <v>0.07838666992085322</v>
      </c>
      <c r="F5" s="5">
        <v>0.069488891600711</v>
      </c>
      <c r="G5" s="5">
        <v>0.060591113280568806</v>
      </c>
      <c r="H5" s="5">
        <v>0.05169333496042661</v>
      </c>
      <c r="I5" s="5">
        <v>0.0427955566402844</v>
      </c>
      <c r="J5" s="5">
        <v>0.033897778320142194</v>
      </c>
      <c r="K5" s="5">
        <v>0.024999999999999994</v>
      </c>
    </row>
    <row r="6" spans="1:11" x14ac:dyDescent="0.25">
      <c r="A6" t="s">
        <v>50</v>
      </c>
      <c r="B6" s="18">
        <f>Assumptions!B29*(1+B5)</f>
        <v>9734844300</v>
      </c>
      <c r="C6" s="18">
        <f>B6*(1+C5)</f>
        <v>10671163300</v>
      </c>
      <c r="D6" s="18">
        <f>C6*(1+D5)</f>
        <v>11602589900.730059</v>
      </c>
      <c r="E6" s="18">
        <f>D6*(1+E5)</f>
        <v>12512078285.505611</v>
      </c>
      <c r="F6" s="18">
        <f>E6*(1+F5)</f>
        <v>13381528737.186722</v>
      </c>
      <c r="G6" s="18">
        <f>F6*(1+G5)</f>
        <v>14192330460.76879</v>
      </c>
      <c r="H6" s="18">
        <f>G6*(1+H5)</f>
        <v>14925979353.146378</v>
      </c>
      <c r="I6" s="18">
        <f>H6*(1+I5)</f>
        <v>15564744947.96567</v>
      </c>
      <c r="J6" s="18">
        <f>I6*(1+J5)</f>
        <v>16092355221.821363</v>
      </c>
      <c r="K6" s="18">
        <f>J6*(1+K5)</f>
        <v>16494664102.366896</v>
      </c>
    </row>
    <row r="7" spans="1:11" x14ac:dyDescent="0.25">
      <c r="A7" t="s">
        <v>4</v>
      </c>
      <c r="B7" s="9">
        <f>Assumptions!B7</f>
        <v>0.26849772553716195</v>
      </c>
      <c r="C7" s="9">
        <f>Assumptions!B7</f>
        <v>0.26849772553716195</v>
      </c>
      <c r="D7" s="9">
        <f>Assumptions!B7</f>
        <v>0.26849772553716195</v>
      </c>
      <c r="E7" s="9">
        <f>Assumptions!B7</f>
        <v>0.26849772553716195</v>
      </c>
      <c r="F7" s="9">
        <f>Assumptions!B7</f>
        <v>0.26849772553716195</v>
      </c>
      <c r="G7" s="9">
        <f>Assumptions!B7</f>
        <v>0.26849772553716195</v>
      </c>
      <c r="H7" s="9">
        <f>Assumptions!B7</f>
        <v>0.26849772553716195</v>
      </c>
      <c r="I7" s="9">
        <f>Assumptions!B7</f>
        <v>0.26849772553716195</v>
      </c>
      <c r="J7" s="9">
        <f>Assumptions!B7</f>
        <v>0.26849772553716195</v>
      </c>
      <c r="K7" s="9">
        <f>Assumptions!B7</f>
        <v>0.26849772553716195</v>
      </c>
    </row>
    <row r="8" spans="1:11" x14ac:dyDescent="0.25">
      <c r="A8" t="s">
        <v>51</v>
      </c>
      <c r="B8" s="18">
        <f>B6*B7</f>
        <v>2613783553.008405</v>
      </c>
      <c r="C8" s="18">
        <f>C6*C7</f>
        <v>2865183074.8856354</v>
      </c>
      <c r="D8" s="18">
        <f>D6*D7</f>
        <v>3115268998.686466</v>
      </c>
      <c r="E8" s="18">
        <f>E6*E7</f>
        <v>3359464561.4011693</v>
      </c>
      <c r="F8" s="18">
        <f>F6*F7</f>
        <v>3592910030.144806</v>
      </c>
      <c r="G8" s="18">
        <f>G6*G7</f>
        <v>3810608448.7882013</v>
      </c>
      <c r="H8" s="18">
        <f>H6*H7</f>
        <v>4007591507.734442</v>
      </c>
      <c r="I8" s="18">
        <f>I6*I7</f>
        <v>4179098617.0948143</v>
      </c>
      <c r="J8" s="18">
        <f>J6*J7</f>
        <v>4320760775.595107</v>
      </c>
      <c r="K8" s="18">
        <f>K6*K7</f>
        <v>4428779794.984984</v>
      </c>
    </row>
    <row r="9" spans="1:11" x14ac:dyDescent="0.25">
      <c r="A9" t="s">
        <v>52</v>
      </c>
      <c r="B9" s="18">
        <f>B8*(1-Assumptions!B8)</f>
        <v>2064889006.8766403</v>
      </c>
      <c r="C9" s="18">
        <f>C8*(1-Assumptions!B8)</f>
        <v>2263494629.159652</v>
      </c>
      <c r="D9" s="18">
        <f>D8*(1-Assumptions!B8)</f>
        <v>2461062508.9623084</v>
      </c>
      <c r="E9" s="18">
        <f>E8*(1-Assumptions!B8)</f>
        <v>2653977003.5069237</v>
      </c>
      <c r="F9" s="18">
        <f>F8*(1-Assumptions!B8)</f>
        <v>2838398923.814397</v>
      </c>
      <c r="G9" s="18">
        <f>G8*(1-Assumptions!B8)</f>
        <v>3010380674.5426793</v>
      </c>
      <c r="H9" s="18">
        <f>H8*(1-Assumptions!B8)</f>
        <v>3165997291.1102095</v>
      </c>
      <c r="I9" s="18">
        <f>I8*(1-Assumptions!B8)</f>
        <v>3301487907.5049033</v>
      </c>
      <c r="J9" s="18">
        <f>J8*(1-Assumptions!B8)</f>
        <v>3413401012.7201347</v>
      </c>
      <c r="K9" s="18">
        <f>K8*(1-Assumptions!B8)</f>
        <v>3498736038.038138</v>
      </c>
    </row>
    <row r="10" spans="1:11" x14ac:dyDescent="0.25">
      <c r="A10" t="s">
        <v>53</v>
      </c>
      <c r="B10" s="18">
        <f>B6*Assumptions!B9</f>
        <v>106805265.55028974</v>
      </c>
      <c r="C10" s="18">
        <f>C6*Assumptions!B9</f>
        <v>117078033.79937017</v>
      </c>
      <c r="D10" s="18">
        <f>D6*Assumptions!B9</f>
        <v>127297125.3806888</v>
      </c>
      <c r="E10" s="18">
        <f>E6*Assumptions!B9</f>
        <v>137275523.12977833</v>
      </c>
      <c r="F10" s="18">
        <f>F6*Assumptions!B9</f>
        <v>146814647.0759744</v>
      </c>
      <c r="G10" s="18">
        <f>G6*Assumptions!B9</f>
        <v>155710309.9882015</v>
      </c>
      <c r="H10" s="18">
        <f>H6*Assumptions!B9</f>
        <v>163759495.19921347</v>
      </c>
      <c r="I10" s="18">
        <f>I6*Assumptions!B9</f>
        <v>170767673.95139578</v>
      </c>
      <c r="J10" s="18">
        <f>J6*Assumptions!B9</f>
        <v>176556318.70724654</v>
      </c>
      <c r="K10" s="18">
        <f>K6*Assumptions!B9</f>
        <v>180970226.67492768</v>
      </c>
    </row>
    <row r="11" spans="1:11" x14ac:dyDescent="0.25">
      <c r="A11" t="s">
        <v>54</v>
      </c>
      <c r="B11" s="18">
        <f>-B6*B19</f>
        <v>-307573549.4822107</v>
      </c>
      <c r="C11" s="18">
        <f>-C6*C19</f>
        <v>-342709046.1135724</v>
      </c>
      <c r="D11" s="18">
        <f>-D6*D19</f>
        <v>-378659241.0281339</v>
      </c>
      <c r="E11" s="18">
        <f>-E6*E19</f>
        <v>-414851325.1639271</v>
      </c>
      <c r="F11" s="18">
        <f>-F6*F19</f>
        <v>-450641520.9872497</v>
      </c>
      <c r="G11" s="18">
        <f>-G6*G19</f>
        <v>-485330903.42365974</v>
      </c>
      <c r="H11" s="18">
        <f>-H6*H19</f>
        <v>-518185517.3704206</v>
      </c>
      <c r="I11" s="18">
        <f>-I6*I19</f>
        <v>-548460156.624802</v>
      </c>
      <c r="J11" s="18">
        <f>-J6*J19</f>
        <v>-575424863.6286706</v>
      </c>
      <c r="K11" s="18">
        <f>-K6*K19</f>
        <v>-598392939.5714872</v>
      </c>
    </row>
    <row r="12" spans="1:11" x14ac:dyDescent="0.25">
      <c r="A12" t="s">
        <v>55</v>
      </c>
      <c r="B12" s="18">
        <f>-(B6-Assumptions!B29)*Assumptions!B11</f>
        <v>-322296795.3788605</v>
      </c>
      <c r="C12" s="18">
        <f>-(C6-B6)*Assumptions!B11</f>
        <v>-209491385.5005471</v>
      </c>
      <c r="D12" s="18">
        <f>-(D6-C6)*Assumptions!B11</f>
        <v>-208396763.3669774</v>
      </c>
      <c r="E12" s="18">
        <f>-(E6-D6)*Assumptions!B11</f>
        <v>-203488321.63320968</v>
      </c>
      <c r="F12" s="18">
        <f>-(F6-E6)*Assumptions!B11</f>
        <v>-194530261.31772646</v>
      </c>
      <c r="G12" s="18">
        <f>-(G6-F6)*Assumptions!B11</f>
        <v>-181408234.20163316</v>
      </c>
      <c r="H12" s="18">
        <f>-(H6-G6)*Assumptions!B11</f>
        <v>-164146111.4589395</v>
      </c>
      <c r="I12" s="18">
        <f>-(I6-H6)*Assumptions!B11</f>
        <v>-142916986.0579296</v>
      </c>
      <c r="J12" s="18">
        <f>-(J6-I6)*Assumptions!B11</f>
        <v>-118047169.04639593</v>
      </c>
      <c r="K12" s="18">
        <f>-(K6-J6)*Assumptions!B11</f>
        <v>-90012319.2893209</v>
      </c>
    </row>
    <row r="13" spans="1:11" x14ac:dyDescent="0.25">
      <c r="A13" s="19" t="s">
        <v>56</v>
      </c>
      <c r="B13" s="20">
        <f>B9+B10+B11+B12</f>
        <v>1541823927.5658588</v>
      </c>
      <c r="C13" s="20">
        <f>C9+C10+C11+C12</f>
        <v>1828372231.344903</v>
      </c>
      <c r="D13" s="20">
        <f>D9+D10+D11+D12</f>
        <v>2001303629.9478858</v>
      </c>
      <c r="E13" s="20">
        <f>E9+E10+E11+E12</f>
        <v>2172912879.8395653</v>
      </c>
      <c r="F13" s="20">
        <f>F9+F10+F11+F12</f>
        <v>2340041788.585395</v>
      </c>
      <c r="G13" s="20">
        <f>G9+G10+G11+G12</f>
        <v>2499351846.905588</v>
      </c>
      <c r="H13" s="20">
        <f>H9+H10+H11+H12</f>
        <v>2647425157.480063</v>
      </c>
      <c r="I13" s="20">
        <f>I9+I10+I11+I12</f>
        <v>2780878438.7735677</v>
      </c>
      <c r="J13" s="20">
        <f>J9+J10+J11+J12</f>
        <v>2896485298.752315</v>
      </c>
      <c r="K13" s="20">
        <f>K9+K10+K11+K12</f>
        <v>2991301005.8522577</v>
      </c>
    </row>
    <row r="14" spans="1:11" x14ac:dyDescent="0.25">
      <c r="A14" t="s">
        <v>57</v>
      </c>
      <c r="B14" s="21">
        <f>1/(1+Assumptions!$B$26)^(1-0.5*Assumptions!$B$32)</f>
        <v>0.9637002602693491</v>
      </c>
      <c r="C14" s="21">
        <f>1/(1+Assumptions!$B$26)^(2-0.5*Assumptions!$B$32)</f>
        <v>0.8950059630034416</v>
      </c>
      <c r="D14" s="21">
        <f>1/(1+Assumptions!$B$26)^(3-0.5*Assumptions!$B$32)</f>
        <v>0.8312083194704467</v>
      </c>
      <c r="E14" s="21">
        <f>1/(1+Assumptions!$B$26)^(4-0.5*Assumptions!$B$32)</f>
        <v>0.7719582873373857</v>
      </c>
      <c r="F14" s="21">
        <f>1/(1+Assumptions!$B$26)^(5-0.5*Assumptions!$B$32)</f>
        <v>0.7169317046399671</v>
      </c>
      <c r="G14" s="21">
        <f>1/(1+Assumptions!$B$26)^(6-0.5*Assumptions!$B$32)</f>
        <v>0.665827516264915</v>
      </c>
      <c r="H14" s="21">
        <f>1/(1+Assumptions!$B$26)^(7-0.5*Assumptions!$B$32)</f>
        <v>0.6183661268518424</v>
      </c>
      <c r="I14" s="21">
        <f>1/(1+Assumptions!$B$26)^(8-0.5*Assumptions!$B$32)</f>
        <v>0.5742878711032595</v>
      </c>
      <c r="J14" s="21">
        <f>1/(1+Assumptions!$B$26)^(9-0.5*Assumptions!$B$32)</f>
        <v>0.5333515931336485</v>
      </c>
      <c r="K14" s="21">
        <f>1/(1+Assumptions!$B$26)^(10-0.5*Assumptions!$B$32)</f>
        <v>0.4953333270851077</v>
      </c>
    </row>
    <row r="15" spans="1:11" x14ac:dyDescent="0.25">
      <c r="A15" s="19" t="s">
        <v>58</v>
      </c>
      <c r="B15" s="20">
        <f>B13*B14</f>
        <v>1485856120.2847283</v>
      </c>
      <c r="C15" s="20">
        <f>C13*C14</f>
        <v>1636404049.6435962</v>
      </c>
      <c r="D15" s="20">
        <f>D13*D14</f>
        <v>1663500226.9990869</v>
      </c>
      <c r="E15" s="20">
        <f>E13*E14</f>
        <v>1677398105.2542973</v>
      </c>
      <c r="F15" s="20">
        <f>F13*F14</f>
        <v>1677650148.4192848</v>
      </c>
      <c r="G15" s="20">
        <f>G13*G14</f>
        <v>1664137232.4972758</v>
      </c>
      <c r="H15" s="20">
        <f>H13*H14</f>
        <v>1637078040.7610755</v>
      </c>
      <c r="I15" s="20">
        <f>I13*I14</f>
        <v>1597024758.4002283</v>
      </c>
      <c r="J15" s="20">
        <f>J13*J14</f>
        <v>1544845048.5777392</v>
      </c>
      <c r="K15" s="20">
        <f>K13*K14</f>
        <v>1481691079.541828</v>
      </c>
    </row>
    <row r="17" spans="1:2" x14ac:dyDescent="0.25">
      <c r="A17" s="22" t="s">
        <v>59</v>
      </c>
      <c r="B17" s="23">
        <f>SUM(B15:K15)</f>
        <v>16065584810.379143</v>
      </c>
    </row>
    <row r="19" spans="1:11" x14ac:dyDescent="0.25">
      <c r="A19" t="s">
        <v>7</v>
      </c>
      <c r="B19" s="9">
        <f>Assumptions!$B$10+($B$20-Assumptions!$B$10)*0/9</f>
        <v>0.031595117497894724</v>
      </c>
      <c r="C19" s="9">
        <f>Assumptions!$B$10+($B$20-Assumptions!$B$10)*1/9</f>
        <v>0.03211543451064725</v>
      </c>
      <c r="D19" s="9">
        <f>Assumptions!$B$10+($B$20-Assumptions!$B$10)*2/9</f>
        <v>0.03263575152339978</v>
      </c>
      <c r="E19" s="9">
        <f>Assumptions!$B$10+($B$20-Assumptions!$B$10)*3/9</f>
        <v>0.03315606853615231</v>
      </c>
      <c r="F19" s="9">
        <f>Assumptions!$B$10+($B$20-Assumptions!$B$10)*4/9</f>
        <v>0.033676385548904834</v>
      </c>
      <c r="G19" s="9">
        <f>Assumptions!$B$10+($B$20-Assumptions!$B$10)*5/9</f>
        <v>0.034196702561657355</v>
      </c>
      <c r="H19" s="9">
        <f>Assumptions!$B$10+($B$20-Assumptions!$B$10)*6/9</f>
        <v>0.03471701957440988</v>
      </c>
      <c r="I19" s="9">
        <f>Assumptions!$B$10+($B$20-Assumptions!$B$10)*7/9</f>
        <v>0.03523733658716241</v>
      </c>
      <c r="J19" s="9">
        <f>Assumptions!$B$10+($B$20-Assumptions!$B$10)*8/9</f>
        <v>0.03575765359991494</v>
      </c>
      <c r="K19" s="9">
        <f>Assumptions!$B$10+($B$20-Assumptions!$B$10)*9/9</f>
        <v>0.036277970612667465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0.036277970612667465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2991301005.8522577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3498736038.038138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0.11930671772844655</v>
      </c>
    </row>
    <row r="7" spans="1:2" x14ac:dyDescent="0.25">
      <c r="A7" t="s">
        <v>66</v>
      </c>
      <c r="B7" s="18">
        <f>-MAX(B5,0)*B6</f>
        <v>-417422712.89655954</v>
      </c>
    </row>
    <row r="8" spans="1:2" x14ac:dyDescent="0.25">
      <c r="A8" t="s">
        <v>67</v>
      </c>
      <c r="B8" s="18">
        <f>IF(OR(Assumptions!$B$33=0,Assumptions!B12&lt;=0),B5,MAX(B5+B7,0))</f>
        <v>3081313325.141578</v>
      </c>
    </row>
    <row r="9" spans="1:2" x14ac:dyDescent="0.25">
      <c r="A9" t="s">
        <v>68</v>
      </c>
      <c r="B9" s="18">
        <f>B8*(1+Assumptions!B12)/(Assumptions!B26-Assumptions!B12)</f>
        <v>61027431532.96827</v>
      </c>
    </row>
    <row r="10" spans="1:2" x14ac:dyDescent="0.25">
      <c r="A10" t="s">
        <v>69</v>
      </c>
      <c r="B10" s="18">
        <f>B9/(1+Assumptions!B26)^(10-0.5*Assumptions!B32)</f>
        <v>30228920704.68379</v>
      </c>
    </row>
    <row r="11" spans="1:2" x14ac:dyDescent="0.25">
      <c r="A11" t="s">
        <v>70</v>
      </c>
      <c r="B11" s="18">
        <f>Forecast!B17+B10</f>
        <v>46294505515.06293</v>
      </c>
    </row>
    <row r="12" spans="1:2" x14ac:dyDescent="0.25">
      <c r="A12" t="s">
        <v>71</v>
      </c>
      <c r="B12" s="18">
        <f>-Assumptions!B30</f>
        <v>2391250000</v>
      </c>
    </row>
    <row r="13" spans="1:2" x14ac:dyDescent="0.25">
      <c r="A13" t="s">
        <v>72</v>
      </c>
      <c r="B13" s="18">
        <f>B11+B12</f>
        <v>48685755515.06293</v>
      </c>
    </row>
    <row r="14" spans="1:2" x14ac:dyDescent="0.25">
      <c r="A14" s="19" t="s">
        <v>73</v>
      </c>
      <c r="B14" s="24">
        <f>B13/Assumptions!B31</f>
        <v>24.727363533107756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4609750021.659912</v>
      </c>
    </row>
    <row r="18" spans="1:2" x14ac:dyDescent="0.25">
      <c r="A18" t="s">
        <v>68</v>
      </c>
      <c r="B18" s="18">
        <f>B17*Assumptions!B13</f>
        <v>92195000433.19824</v>
      </c>
    </row>
    <row r="19" spans="1:2" x14ac:dyDescent="0.25">
      <c r="A19" t="s">
        <v>69</v>
      </c>
      <c r="B19" s="18">
        <f>B18/(1+Assumptions!B26)^(10-0.5*Assumptions!B32)</f>
        <v>45667256305.18903</v>
      </c>
    </row>
    <row r="20" spans="1:2" x14ac:dyDescent="0.25">
      <c r="A20" t="s">
        <v>70</v>
      </c>
      <c r="B20" s="18">
        <f>Forecast!B17+B19</f>
        <v>61732841115.56818</v>
      </c>
    </row>
    <row r="21" spans="1:2" x14ac:dyDescent="0.25">
      <c r="A21" t="s">
        <v>71</v>
      </c>
      <c r="B21" s="18">
        <f>-Assumptions!B30</f>
        <v>2391250000</v>
      </c>
    </row>
    <row r="22" spans="1:2" x14ac:dyDescent="0.25">
      <c r="A22" t="s">
        <v>72</v>
      </c>
      <c r="B22" s="18">
        <f>B20+B21</f>
        <v>64124091115.56818</v>
      </c>
    </row>
    <row r="23" spans="1:2" x14ac:dyDescent="0.25">
      <c r="A23" s="19" t="s">
        <v>73</v>
      </c>
      <c r="B23" s="25">
        <f>B22/Assumptions!B31</f>
        <v>32.568452424533156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47.34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24.727363533107756</v>
      </c>
    </row>
    <row r="29" spans="1:2" x14ac:dyDescent="0.25">
      <c r="A29" s="19" t="s">
        <v>81</v>
      </c>
      <c r="B29" s="11">
        <f>B28/B26-1</f>
        <v>-0.4776644796555185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0.056753</v>
      </c>
      <c r="B5" s="31">
        <v>34.1831790810796</v>
      </c>
      <c r="C5" s="31">
        <v>36.718170296112106</v>
      </c>
      <c r="D5" s="31">
        <v>40.084809761607524</v>
      </c>
      <c r="E5" s="31">
        <v>44.749389996421485</v>
      </c>
      <c r="F5" s="31">
        <v>51.60691911620597</v>
      </c>
    </row>
    <row r="6" spans="1:6" x14ac:dyDescent="0.25">
      <c r="A6" s="30">
        <v>0.066753</v>
      </c>
      <c r="B6" s="31">
        <v>27.522185225529103</v>
      </c>
      <c r="C6" s="31">
        <v>28.867144333765967</v>
      </c>
      <c r="D6" s="31">
        <v>30.558128072562596</v>
      </c>
      <c r="E6" s="31">
        <v>32.73635945659526</v>
      </c>
      <c r="F6" s="31">
        <v>35.63201247504736</v>
      </c>
    </row>
    <row r="7" spans="1:6" x14ac:dyDescent="0.25">
      <c r="A7" s="30">
        <v>0.076753</v>
      </c>
      <c r="B7" s="31">
        <v>23.036537328730724</v>
      </c>
      <c r="C7" s="31">
        <v>23.7991404699545</v>
      </c>
      <c r="D7" s="32">
        <v>24.72731345617874</v>
      </c>
      <c r="E7" s="31">
        <v>25.874176893033194</v>
      </c>
      <c r="F7" s="31">
        <v>27.318296554461103</v>
      </c>
    </row>
    <row r="8" spans="1:6" x14ac:dyDescent="0.25">
      <c r="A8" s="30">
        <v>0.086753</v>
      </c>
      <c r="B8" s="31">
        <v>19.81551244170299</v>
      </c>
      <c r="C8" s="31">
        <v>20.26233729417011</v>
      </c>
      <c r="D8" s="31">
        <v>20.795951646568447</v>
      </c>
      <c r="E8" s="31">
        <v>21.439294242206167</v>
      </c>
      <c r="F8" s="31">
        <v>22.224168525300826</v>
      </c>
    </row>
    <row r="9" spans="1:6" x14ac:dyDescent="0.25">
      <c r="A9" s="30">
        <v>0.096753</v>
      </c>
      <c r="B9" s="31">
        <v>17.394080650145284</v>
      </c>
      <c r="C9" s="31">
        <v>17.657388236765815</v>
      </c>
      <c r="D9" s="31">
        <v>17.969145626017607</v>
      </c>
      <c r="E9" s="31">
        <v>18.340239924689406</v>
      </c>
      <c r="F9" s="31">
        <v>18.785084256699083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8294343000</v>
      </c>
      <c r="C5" s="18">
        <v>7492709000</v>
      </c>
      <c r="D5" s="18">
        <v>7140027000</v>
      </c>
      <c r="E5" s="18">
        <v>6311050000</v>
      </c>
      <c r="F5" s="6" t="s">
        <v>91</v>
      </c>
    </row>
    <row r="6" spans="1:6" x14ac:dyDescent="0.25">
      <c r="A6" t="s">
        <v>51</v>
      </c>
      <c r="B6" s="18">
        <v>2419354000</v>
      </c>
      <c r="C6" s="18">
        <v>1930294000</v>
      </c>
      <c r="D6" s="18">
        <v>1953355000</v>
      </c>
      <c r="E6" s="18">
        <v>1584721000</v>
      </c>
      <c r="F6" s="6" t="s">
        <v>92</v>
      </c>
    </row>
    <row r="7" spans="1:6" x14ac:dyDescent="0.25">
      <c r="A7" t="s">
        <v>93</v>
      </c>
      <c r="B7" s="18">
        <v>114441000</v>
      </c>
      <c r="C7" s="18">
        <v>80434000</v>
      </c>
      <c r="D7" s="18">
        <v>68898000</v>
      </c>
      <c r="E7" s="18">
        <v>61241000</v>
      </c>
      <c r="F7" s="6" t="s">
        <v>94</v>
      </c>
    </row>
    <row r="8" spans="1:6" x14ac:dyDescent="0.25">
      <c r="A8" t="s">
        <v>95</v>
      </c>
      <c r="B8" s="18">
        <v>157529000</v>
      </c>
      <c r="C8" s="18">
        <v>306434000</v>
      </c>
      <c r="D8" s="18">
        <v>234724000</v>
      </c>
      <c r="E8" s="18">
        <v>212153000</v>
      </c>
      <c r="F8" s="6" t="s">
        <v>96</v>
      </c>
    </row>
    <row r="9" spans="1:6" x14ac:dyDescent="0.25">
      <c r="A9" t="s">
        <v>97</v>
      </c>
      <c r="B9" s="18">
        <v>120212000</v>
      </c>
      <c r="C9" s="18">
        <v>-107640000</v>
      </c>
      <c r="D9" s="18">
        <v>59872000</v>
      </c>
      <c r="E9" s="18">
        <v>486809000</v>
      </c>
      <c r="F9" s="6" t="s">
        <v>98</v>
      </c>
    </row>
    <row r="10" spans="1:6" x14ac:dyDescent="0.25">
      <c r="A10" t="s">
        <v>99</v>
      </c>
      <c r="B10" s="18">
        <v>373951000</v>
      </c>
      <c r="C10" s="18">
        <v>373951000</v>
      </c>
      <c r="D10" s="18">
        <v>0</v>
      </c>
      <c r="E10" s="18">
        <v>0</v>
      </c>
      <c r="F10" s="6" t="s">
        <v>100</v>
      </c>
    </row>
    <row r="11" spans="1:6" x14ac:dyDescent="0.25">
      <c r="A11" t="s">
        <v>101</v>
      </c>
      <c r="B11" s="18">
        <v>2765201000</v>
      </c>
      <c r="C11" s="18">
        <v>1533287000</v>
      </c>
      <c r="D11" s="18">
        <v>3253280000</v>
      </c>
      <c r="E11" s="18">
        <v>2669455000</v>
      </c>
      <c r="F11" s="6" t="s">
        <v>102</v>
      </c>
    </row>
    <row r="12" spans="1:6" x14ac:dyDescent="0.25">
      <c r="A12" t="s">
        <v>34</v>
      </c>
      <c r="B12" s="34">
        <v>1968902000</v>
      </c>
      <c r="C12" s="34">
        <v>2026214000</v>
      </c>
      <c r="D12" s="34">
        <v>2115962000</v>
      </c>
      <c r="E12" s="34">
        <v>2132884000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8" ht="38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