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<sst xmlns="http://schemas.openxmlformats.org/spreadsheetml/2006/main" count="113" uniqueCount="101">
  <si>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Monster Beverage Corporation (MNST)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</si>
  <si>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</si>
  <si>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</si>
  <si>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</si>
  <si>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</si>
  <si>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</si>
  <si>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</si>
  <si>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</si>
  <si>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</si>
  <si>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</si>
  <si>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</si>
  <si>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</si>
  <si>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</si>
  <si>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</si>
  <si>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</si>
  <si>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</si>
  <si>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</si>
  <si>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</si>
  <si>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</si>
  <si>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</si>
  <si>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</si>
  <si>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</si>
  <si>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Assumed: risk-free + 2bp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</si>
  <si>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</si>
  <si>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</si>
  <si>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</si>
  <si>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</si>
  <si>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</si>
  <si>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</si>
  <si>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</si>
  <si>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</si>
  <si>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</si>
  <si>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</si>
  <si>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</si>
  <si>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</si>
  <si>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</si>
  <si>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</si>
  <si>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</si>
  <si>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</si>
  <si>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</si>
  <si>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</si>
  <si>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</si>
  <si>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</si>
  <si>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</si>
  <si>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</si>
  <si>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</si>
  <si>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</si>
  <si>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</si>
  <si>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</si>
  <si>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</si>
  <si>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</si>
  <si>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</si>
  <si>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</si>
  <si>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</si>
  <si>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</si>
  <si>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</si>
  <si>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</si>
  <si>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</si>
  <si>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</si>
  <si>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</si>
  <si>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</si>
  <si>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</si>
  <si>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</si>
  <si>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</si>
  <si>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</si>
  <si>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</si>
  <si>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</si>
  <si>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</si>
  <si>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</si>
  <si>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</si>
  <si>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</si>
  <si>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</si>
  <si>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</si>
  <si>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</si>
  <si>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</si>
  <si>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</si>
  <si>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</si>
  <si>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</si>
  <si>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</si>
  <si>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</si>
  <si>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</si>
  <si>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</si>
  <si>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</si>
  <si>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</si>
  <si>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</si>
  <si>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</si>
  <si>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</si>
  <si>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</si>
  <si>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</si>
  <si>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</si>
  <si>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</si>
  <si>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</si>
  <si>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</si>
  <si>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derived</t>
  </si>
  <si>
    <t>Cash and equivalents</t>
  </si>
  <si>
    <t>cashCashEquivalentsAndShortTermInvestments</t>
  </si>
  <si>
    <t>dilutedAverageShares</t>
  </si>
  <si>
    <t>Model notes</t>
  </si>
  <si>
    <t>Adjusted: Capital expenditure runs at 3.2% of revenue against depreciation of 1.1%. A perpetuity has to be a steady state, so the terminal year uses maintenance capex at depreciation and then charges the reinvestment terminal growth requires (g/ROIC of NOPAT). The bridge is shown under Terminal Value.</t>
  </si>
  <si>
    <t>Current EV/EBITDA of 33.5x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</si>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</sst>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0.09536818669323455</v>
      </c>
    </row>
    <row r="7" spans="1:2" x14ac:dyDescent="0.25">
      <c r="A7" t="s">
        <v>5</v>
      </c>
      <c r="B7" s="6">
        <v>0.26849772553716195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0.01097144055506771</v>
      </c>
    </row>
    <row r="10" spans="1:2" x14ac:dyDescent="0.25">
      <c r="A10" t="s">
        <v>8</v>
      </c>
      <c r="B10" s="6">
        <v>0.031595117497894724</v>
      </c>
    </row>
    <row r="11" spans="1:2" x14ac:dyDescent="0.25">
      <c r="A11" t="s">
        <v>9</v>
      </c>
      <c r="B11" s="6">
        <v>0.07222395796264552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0.20954394250374386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0.6750499999999999</v>
      </c>
      <c r="C19" s="8" t="s">
        <v>19</v>
      </c>
    </row>
    <row r="20" spans="1:2" x14ac:dyDescent="0.25">
      <c r="A20" t="s">
        <v>20</v>
      </c>
      <c r="B20" s="10">
        <f>B17+B19*B18</f>
        <v>0.08710775</v>
      </c>
    </row>
    <row r="21" spans="1:3" x14ac:dyDescent="0.25">
      <c r="A21" t="s">
        <v>21</v>
      </c>
      <c r="B21" s="6">
        <v>0.06998</v>
      </c>
      <c r="C21" s="8" t="s">
        <v>22</v>
      </c>
    </row>
    <row r="22" spans="1:2" x14ac:dyDescent="0.25">
      <c r="A22" t="s">
        <v>23</v>
      </c>
      <c r="B22" s="11">
        <v>87589199872</v>
      </c>
    </row>
    <row r="23" spans="1:2" x14ac:dyDescent="0.25">
      <c r="A23" t="s">
        <v>24</v>
      </c>
      <c r="B23" s="11">
        <v>0</v>
      </c>
    </row>
    <row r="24" spans="1:2" x14ac:dyDescent="0.25">
      <c r="A24" t="s">
        <v>25</v>
      </c>
      <c r="B24" s="10">
        <f>B22/(B22+B23)</f>
        <v>1</v>
      </c>
    </row>
    <row r="25" spans="1:2" x14ac:dyDescent="0.25">
      <c r="A25" t="s">
        <v>26</v>
      </c>
      <c r="B25" s="10">
        <f>1-B24</f>
        <v>0</v>
      </c>
    </row>
    <row r="26" spans="1:2" x14ac:dyDescent="0.25">
      <c r="A26" t="s">
        <v>27</v>
      </c>
      <c r="B26" s="12">
        <f>B24*B20+B25*B21*(1-B8)</f>
        <v>0.08710775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8294343000</v>
      </c>
      <c r="C29" s="8" t="s">
        <v>30</v>
      </c>
    </row>
    <row r="30" spans="1:2" x14ac:dyDescent="0.25">
      <c r="A30" t="s">
        <v>31</v>
      </c>
      <c r="B30" s="11">
        <v>-2765201000</v>
      </c>
    </row>
    <row r="31" spans="1:2" x14ac:dyDescent="0.25">
      <c r="A31" t="s">
        <v>32</v>
      </c>
      <c r="B31" s="13">
        <v>1968902000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0.09536818669323455</v>
      </c>
      <c r="C5" s="10">
        <f>Assumptions!B6</f>
        <v>0.09536818669323455</v>
      </c>
      <c r="D5" s="10">
        <f>Assumptions!B6</f>
        <v>0.09536818669323455</v>
      </c>
      <c r="E5" s="10">
        <f>Assumptions!B6</f>
        <v>0.09536818669323455</v>
      </c>
      <c r="F5" s="10">
        <f>Assumptions!B6</f>
        <v>0.09536818669323455</v>
      </c>
    </row>
    <row r="6" spans="1:6" x14ac:dyDescent="0.25">
      <c r="A6" t="s">
        <v>43</v>
      </c>
      <c r="B6" s="18">
        <f>Assumptions!B29*(1+B5)</f>
        <v>9085359451.721724</v>
      </c>
      <c r="C6" s="18">
        <f>B6*(1+C5)</f>
        <v>9951813708.088663</v>
      </c>
      <c r="D6" s="18">
        <f>C6*(1+D5)</f>
        <v>10900900135.737953</v>
      </c>
      <c r="E6" s="18">
        <f>D6*(1+E5)</f>
        <v>11940499215.007317</v>
      </c>
      <c r="F6" s="18">
        <f>E6*(1+F5)</f>
        <v>13079242973.354555</v>
      </c>
    </row>
    <row r="7" spans="1:6" x14ac:dyDescent="0.25">
      <c r="A7" t="s">
        <v>5</v>
      </c>
      <c r="B7" s="10">
        <f>Assumptions!B7</f>
        <v>0.26849772553716195</v>
      </c>
      <c r="C7" s="10">
        <f>Assumptions!B7</f>
        <v>0.26849772553716195</v>
      </c>
      <c r="D7" s="10">
        <f>Assumptions!B7</f>
        <v>0.26849772553716195</v>
      </c>
      <c r="E7" s="10">
        <f>Assumptions!B7</f>
        <v>0.26849772553716195</v>
      </c>
      <c r="F7" s="10">
        <f>Assumptions!B7</f>
        <v>0.26849772553716195</v>
      </c>
    </row>
    <row r="8" spans="1:6" x14ac:dyDescent="0.25">
      <c r="A8" t="s">
        <v>44</v>
      </c>
      <c r="B8" s="18">
        <f>B6*B7</f>
        <v>2439398348.4748397</v>
      </c>
      <c r="C8" s="18">
        <f>C6*C7</f>
        <v>2672039345.591356</v>
      </c>
      <c r="D8" s="18">
        <f>D6*D7</f>
        <v>2926866892.7533803</v>
      </c>
      <c r="E8" s="18">
        <f>E6*E7</f>
        <v>3205996881.0077324</v>
      </c>
      <c r="F8" s="18">
        <f>F6*F7</f>
        <v>3511746990.0936055</v>
      </c>
    </row>
    <row r="9" spans="1:6" x14ac:dyDescent="0.25">
      <c r="A9" t="s">
        <v>45</v>
      </c>
      <c r="B9" s="18">
        <f>B8*(1-Assumptions!B8)</f>
        <v>1927124695.2951233</v>
      </c>
      <c r="C9" s="18">
        <f>C8*(1-Assumptions!B8)</f>
        <v>2110911083.0171711</v>
      </c>
      <c r="D9" s="18">
        <f>D8*(1-Assumptions!B8)</f>
        <v>2312224845.2751703</v>
      </c>
      <c r="E9" s="18">
        <f>E8*(1-Assumptions!B8)</f>
        <v>2532737535.9961085</v>
      </c>
      <c r="F9" s="18">
        <f>F8*(1-Assumptions!B8)</f>
        <v>2774280122.1739483</v>
      </c>
    </row>
    <row r="10" spans="1:6" x14ac:dyDescent="0.25">
      <c r="A10" t="s">
        <v>46</v>
      </c>
      <c r="B10" s="18">
        <f>B6*Assumptions!B9</f>
        <v>99679481.14598745</v>
      </c>
      <c r="C10" s="18">
        <f>C6*Assumptions!B9</f>
        <v>109185732.51340272</v>
      </c>
      <c r="D10" s="18">
        <f>D6*Assumptions!B9</f>
        <v>119598577.83597848</v>
      </c>
      <c r="E10" s="18">
        <f>E6*Assumptions!B9</f>
        <v>131004477.33528543</v>
      </c>
      <c r="F10" s="18">
        <f>F6*Assumptions!B9</f>
        <v>143498136.78744653</v>
      </c>
    </row>
    <row r="11" spans="1:6" x14ac:dyDescent="0.25">
      <c r="A11" t="s">
        <v>47</v>
      </c>
      <c r="B11" s="18">
        <f>-B6*Assumptions!B10</f>
        <v>-287052999.3877562</v>
      </c>
      <c r="C11" s="18">
        <f>-C6*Assumptions!B10</f>
        <v>-314428723.4242207</v>
      </c>
      <c r="D11" s="18">
        <f>-D6*Assumptions!B10</f>
        <v>-344415220.62145716</v>
      </c>
      <c r="E11" s="18">
        <f>-E6*Assumptions!B10</f>
        <v>-377261475.6816759</v>
      </c>
      <c r="F11" s="18">
        <f>-F6*Assumptions!B10</f>
        <v>-413240218.52665114</v>
      </c>
    </row>
    <row r="12" spans="1:6" x14ac:dyDescent="0.25">
      <c r="A12" t="s">
        <v>48</v>
      </c>
      <c r="B12" s="18">
        <f>-(B6-Assumptions!B29)*Assumptions!B11</f>
        <v>-57130338.95691078</v>
      </c>
      <c r="C12" s="18">
        <f>-(C6-B6)*Assumptions!B11</f>
        <v>-62578755.78840113</v>
      </c>
      <c r="D12" s="18">
        <f>-(D6-C6)*Assumptions!B11</f>
        <v>-68546778.25345974</v>
      </c>
      <c r="E12" s="18">
        <f>-(E6-D6)*Assumptions!B11</f>
        <v>-75083960.1991555</v>
      </c>
      <c r="F12" s="18">
        <f>-(F6-E6)*Assumptions!B11</f>
        <v>-82244581.33309592</v>
      </c>
    </row>
    <row r="13" spans="1:6" x14ac:dyDescent="0.25">
      <c r="A13" s="19" t="s">
        <v>49</v>
      </c>
      <c r="B13" s="20">
        <f>B9+B10+B11+B12</f>
        <v>1682620838.096444</v>
      </c>
      <c r="C13" s="20">
        <f>C9+C10+C11+C12</f>
        <v>1843089336.3179522</v>
      </c>
      <c r="D13" s="20">
        <f>D9+D10+D11+D12</f>
        <v>2018861424.236232</v>
      </c>
      <c r="E13" s="20">
        <f>E9+E10+E11+E12</f>
        <v>2211396577.450563</v>
      </c>
      <c r="F13" s="20">
        <f>F9+F10+F11+F12</f>
        <v>2422293459.101648</v>
      </c>
    </row>
    <row r="14" spans="1:6" x14ac:dyDescent="0.25">
      <c r="A14" t="s">
        <v>50</v>
      </c>
      <c r="B14" s="21">
        <f>1/(1+Assumptions!$B$26)^(1-0.5*Assumptions!$B$32)</f>
        <v>0.9590995872202777</v>
      </c>
      <c r="C14" s="21">
        <f>1/(1+Assumptions!$B$26)^(2-0.5*Assumptions!$B$32)</f>
        <v>0.8822488729569611</v>
      </c>
      <c r="D14" s="21">
        <f>1/(1+Assumptions!$B$26)^(3-0.5*Assumptions!$B$32)</f>
        <v>0.811556051326983</v>
      </c>
      <c r="E14" s="21">
        <f>1/(1+Assumptions!$B$26)^(4-0.5*Assumptions!$B$32)</f>
        <v>0.7465277028215309</v>
      </c>
      <c r="F14" s="21">
        <f>1/(1+Assumptions!$B$26)^(5-0.5*Assumptions!$B$32)</f>
        <v>0.6867099446412105</v>
      </c>
    </row>
    <row r="15" spans="1:6" x14ac:dyDescent="0.25">
      <c r="A15" s="19" t="s">
        <v>51</v>
      </c>
      <c r="B15" s="20">
        <f>B13*B14</f>
        <v>1613800951.266537</v>
      </c>
      <c r="C15" s="20">
        <f>C13*C14</f>
        <v>1626063489.7255068</v>
      </c>
      <c r="D15" s="20">
        <f>D13*D14</f>
        <v>1638419205.6295257</v>
      </c>
      <c r="E15" s="20">
        <f>E13*E14</f>
        <v>1650868806.9915645</v>
      </c>
      <c r="F15" s="20">
        <f>F13*F14</f>
        <v>1663413007.204459</v>
      </c>
    </row>
    <row r="17" spans="1:2" x14ac:dyDescent="0.25">
      <c r="A17" s="22" t="s">
        <v>52</v>
      </c>
      <c r="B17" s="23">
        <f>SUM(B15:F15)</f>
        <v>8192565460.817593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2422293459.101648</v>
      </c>
    </row>
    <row r="5" spans="1:2" x14ac:dyDescent="0.25">
      <c r="A5" t="s">
        <v>56</v>
      </c>
      <c r="B5" s="18">
        <f>IF(Assumptions!$B$33=0,B4,B4-Forecast!F11-Forecast!F10-Forecast!F12)</f>
        <v>2774280122.1739483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0.11930671772844655</v>
      </c>
    </row>
    <row r="7" spans="1:2" x14ac:dyDescent="0.25">
      <c r="A7" t="s">
        <v>58</v>
      </c>
      <c r="B7" s="18">
        <f>-MAX(Forecast!F9,0)*B6</f>
        <v>-330990255.43584746</v>
      </c>
    </row>
    <row r="8" spans="1:2" x14ac:dyDescent="0.25">
      <c r="A8" t="s">
        <v>59</v>
      </c>
      <c r="B8" s="18">
        <f>IF(OR(Assumptions!$B$33=0,Assumptions!B12&lt;=0),B5,MAX(B5+B7,0))</f>
        <v>2443289866.738101</v>
      </c>
    </row>
    <row r="9" spans="1:2" x14ac:dyDescent="0.25">
      <c r="A9" t="s">
        <v>60</v>
      </c>
      <c r="B9" s="18">
        <f>B8*(1+Assumptions!B12)/(Assumptions!B26-Assumptions!B12)</f>
        <v>40323021094.89642</v>
      </c>
    </row>
    <row r="10" spans="1:2" x14ac:dyDescent="0.25">
      <c r="A10" t="s">
        <v>61</v>
      </c>
      <c r="B10" s="18">
        <f>B9/(1+Assumptions!B26)^(5-0.5*Assumptions!B32)</f>
        <v>27690219583.842686</v>
      </c>
    </row>
    <row r="11" spans="1:2" x14ac:dyDescent="0.25">
      <c r="A11" t="s">
        <v>62</v>
      </c>
      <c r="B11" s="18">
        <f>Forecast!B17+B10</f>
        <v>35882785044.66028</v>
      </c>
    </row>
    <row r="12" spans="1:2" x14ac:dyDescent="0.25">
      <c r="A12" t="s">
        <v>63</v>
      </c>
      <c r="B12" s="18">
        <f>-Assumptions!B30</f>
        <v>2765201000</v>
      </c>
    </row>
    <row r="13" spans="1:2" x14ac:dyDescent="0.25">
      <c r="A13" t="s">
        <v>64</v>
      </c>
      <c r="B13" s="18">
        <f>B11+B12</f>
        <v>38647986044.66028</v>
      </c>
    </row>
    <row r="14" spans="1:2" x14ac:dyDescent="0.25">
      <c r="A14" s="19" t="s">
        <v>65</v>
      </c>
      <c r="B14" s="24">
        <f>B13/Assumptions!B31</f>
        <v>19.629207570849275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3655245126.881052</v>
      </c>
    </row>
    <row r="18" spans="1:2" x14ac:dyDescent="0.25">
      <c r="A18" t="s">
        <v>60</v>
      </c>
      <c r="B18" s="18">
        <f>B17*Assumptions!B13</f>
        <v>73104902537.62103</v>
      </c>
    </row>
    <row r="19" spans="1:2" x14ac:dyDescent="0.25">
      <c r="A19" t="s">
        <v>61</v>
      </c>
      <c r="B19" s="18">
        <f>B18/(1+Assumptions!B26)^(5-0.5*Assumptions!B32)</f>
        <v>50201863574.610825</v>
      </c>
    </row>
    <row r="20" spans="1:2" x14ac:dyDescent="0.25">
      <c r="A20" t="s">
        <v>62</v>
      </c>
      <c r="B20" s="18">
        <f>Forecast!B17+B19</f>
        <v>58394429035.42842</v>
      </c>
    </row>
    <row r="21" spans="1:2" x14ac:dyDescent="0.25">
      <c r="A21" t="s">
        <v>63</v>
      </c>
      <c r="B21" s="18">
        <f>-Assumptions!B30</f>
        <v>2765201000</v>
      </c>
    </row>
    <row r="22" spans="1:2" x14ac:dyDescent="0.25">
      <c r="A22" t="s">
        <v>64</v>
      </c>
      <c r="B22" s="18">
        <f>B20+B21</f>
        <v>61159630035.42842</v>
      </c>
    </row>
    <row r="23" spans="1:2" x14ac:dyDescent="0.25">
      <c r="A23" s="19" t="s">
        <v>65</v>
      </c>
      <c r="B23" s="25">
        <f>B22/Assumptions!B31</f>
        <v>31.06281066067708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44.71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19.629207570849275</v>
      </c>
    </row>
    <row r="29" spans="1:2" x14ac:dyDescent="0.25">
      <c r="A29" s="19" t="s">
        <v>73</v>
      </c>
      <c r="B29" s="12">
        <f>B28/B26-1</f>
        <v>-0.5609660574625526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0.067108</v>
      </c>
      <c r="B5" s="31">
        <v>24.789462804365634</v>
      </c>
      <c r="C5" s="31">
        <v>26.36878271288508</v>
      </c>
      <c r="D5" s="31">
        <v>28.317205724951815</v>
      </c>
      <c r="E5" s="31">
        <v>30.783932728601037</v>
      </c>
      <c r="F5" s="31">
        <v>34.011101504876</v>
      </c>
    </row>
    <row r="6" spans="1:6" x14ac:dyDescent="0.25">
      <c r="A6" s="30">
        <v>0.077108</v>
      </c>
      <c r="B6" s="31">
        <v>20.968182082786935</v>
      </c>
      <c r="C6" s="31">
        <v>21.960250299214888</v>
      </c>
      <c r="D6" s="31">
        <v>23.13808642355918</v>
      </c>
      <c r="E6" s="31">
        <v>24.56084216293421</v>
      </c>
      <c r="F6" s="31">
        <v>26.31576445914345</v>
      </c>
    </row>
    <row r="7" spans="1:6" x14ac:dyDescent="0.25">
      <c r="A7" s="30">
        <v>0.087108</v>
      </c>
      <c r="B7" s="31">
        <v>18.21057644981694</v>
      </c>
      <c r="C7" s="31">
        <v>18.868729400342964</v>
      </c>
      <c r="D7" s="32">
        <v>19.629133999994842</v>
      </c>
      <c r="E7" s="31">
        <v>20.51864768970709</v>
      </c>
      <c r="F7" s="31">
        <v>21.57443628568653</v>
      </c>
    </row>
    <row r="8" spans="1:6" x14ac:dyDescent="0.25">
      <c r="A8" s="30">
        <v>0.097108</v>
      </c>
      <c r="B8" s="31">
        <v>16.127833478361815</v>
      </c>
      <c r="C8" s="31">
        <v>16.58167641417628</v>
      </c>
      <c r="D8" s="31">
        <v>17.095386015510982</v>
      </c>
      <c r="E8" s="31">
        <v>17.682343697142162</v>
      </c>
      <c r="F8" s="31">
        <v>18.360239953119653</v>
      </c>
    </row>
    <row r="9" spans="1:6" x14ac:dyDescent="0.25">
      <c r="A9" s="30">
        <v>0.107108</v>
      </c>
      <c r="B9" s="31">
        <v>14.500000857839353</v>
      </c>
      <c r="C9" s="31">
        <v>14.821915189751573</v>
      </c>
      <c r="D9" s="31">
        <v>15.180445246974966</v>
      </c>
      <c r="E9" s="31">
        <v>15.582713972390527</v>
      </c>
      <c r="F9" s="31">
        <v>16.037819940676272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8294343000</v>
      </c>
      <c r="C5" s="18">
        <v>7492709000</v>
      </c>
      <c r="D5" s="18">
        <v>7140027000</v>
      </c>
      <c r="E5" s="18">
        <v>6311050000</v>
      </c>
      <c r="F5" s="8" t="s">
        <v>84</v>
      </c>
    </row>
    <row r="6" spans="1:6" x14ac:dyDescent="0.25">
      <c r="A6" t="s">
        <v>44</v>
      </c>
      <c r="B6" s="18">
        <v>2419354000</v>
      </c>
      <c r="C6" s="18">
        <v>1930294000</v>
      </c>
      <c r="D6" s="18">
        <v>1953355000</v>
      </c>
      <c r="E6" s="18">
        <v>1584721000</v>
      </c>
      <c r="F6" s="8" t="s">
        <v>85</v>
      </c>
    </row>
    <row r="7" spans="1:6" x14ac:dyDescent="0.25">
      <c r="A7" t="s">
        <v>86</v>
      </c>
      <c r="B7" s="18">
        <v>114441000</v>
      </c>
      <c r="C7" s="18">
        <v>80434000</v>
      </c>
      <c r="D7" s="18">
        <v>68898000</v>
      </c>
      <c r="E7" s="18">
        <v>61241000</v>
      </c>
      <c r="F7" s="8" t="s">
        <v>87</v>
      </c>
    </row>
    <row r="8" spans="1:6" x14ac:dyDescent="0.25">
      <c r="A8" t="s">
        <v>88</v>
      </c>
      <c r="B8" s="18">
        <v>157529000</v>
      </c>
      <c r="C8" s="18">
        <v>306434000</v>
      </c>
      <c r="D8" s="18">
        <v>234724000</v>
      </c>
      <c r="E8" s="18">
        <v>212153000</v>
      </c>
      <c r="F8" s="8" t="s">
        <v>89</v>
      </c>
    </row>
    <row r="9" spans="1:6" x14ac:dyDescent="0.25">
      <c r="A9" t="s">
        <v>90</v>
      </c>
      <c r="B9" s="18">
        <v>120212000</v>
      </c>
      <c r="C9" s="18">
        <v>-107640000</v>
      </c>
      <c r="D9" s="18">
        <v>59872000</v>
      </c>
      <c r="E9" s="18">
        <v>486809000</v>
      </c>
      <c r="F9" s="8" t="s">
        <v>91</v>
      </c>
    </row>
    <row r="10" spans="1:6" x14ac:dyDescent="0.25">
      <c r="A10" t="s">
        <v>92</v>
      </c>
      <c r="B10" s="18">
        <v>0</v>
      </c>
      <c r="C10" s="18">
        <v>373951000</v>
      </c>
      <c r="D10" s="18">
        <v>0</v>
      </c>
      <c r="E10" s="18">
        <v>0</v>
      </c>
      <c r="F10" s="8" t="s">
        <v>93</v>
      </c>
    </row>
    <row r="11" spans="1:6" x14ac:dyDescent="0.25">
      <c r="A11" t="s">
        <v>94</v>
      </c>
      <c r="B11" s="18">
        <v>2765201000</v>
      </c>
      <c r="C11" s="18">
        <v>1533287000</v>
      </c>
      <c r="D11" s="18">
        <v>3253280000</v>
      </c>
      <c r="E11" s="18">
        <v>2669455000</v>
      </c>
      <c r="F11" s="8" t="s">
        <v>95</v>
      </c>
    </row>
    <row r="12" spans="1:6" x14ac:dyDescent="0.25">
      <c r="A12" t="s">
        <v>32</v>
      </c>
      <c r="B12" s="34">
        <v>1968902000</v>
      </c>
      <c r="C12" s="34">
        <v>2026214000</v>
      </c>
      <c r="D12" s="34">
        <v>2115962000</v>
      </c>
      <c r="E12" s="34">
        <v>2132884000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2026-09-19T01:03:27Z</dcterms:modified>
</cp:coreProperties>
</file>