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<sst xmlns="http://schemas.openxmlformats.org/spreadsheetml/2006/main" count="120" uniqueCount="107">
  <si>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Altria Group, Inc. (MO)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</si>
  <si>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</si>
  <si>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</si>
  <si>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</si>
  <si>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</si>
  <si>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</si>
  <si>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</si>
  <si>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</si>
  <si>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</si>
  <si>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</si>
  <si>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</si>
  <si>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</si>
  <si>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</si>
  <si>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</si>
  <si>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</si>
  <si>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</si>
  <si>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</si>
  <si>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</si>
  <si>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</si>
  <si>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</si>
  <si>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</si>
  <si>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</si>
  <si>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</si>
  <si>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</si>
  <si>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10.2x interest cover. Book interest / average debt was lower, at 4.6%.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</si>
  <si>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</si>
  <si>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</si>
  <si>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</si>
  <si>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</si>
  <si>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</si>
  <si>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</si>
  <si>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</si>
  <si>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</si>
  <si>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</si>
  <si>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</si>
  <si>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</si>
  <si>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</si>
  <si>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</si>
  <si>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</si>
  <si>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</si>
  <si>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</si>
  <si>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</si>
  <si>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</si>
  <si>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</si>
  <si>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</si>
  <si>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</si>
  <si>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</si>
  <si>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</si>
  <si>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</si>
  <si>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</si>
  <si>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</si>
  <si>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</si>
  <si>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</si>
  <si>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</si>
  <si>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</si>
  <si>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</si>
  <si>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</si>
  <si>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</si>
  <si>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</si>
  <si>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</si>
  <si>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</si>
  <si>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</si>
  <si>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</si>
  <si>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</si>
  <si>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</si>
  <si>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</si>
  <si>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</si>
  <si>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</si>
  <si>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</si>
  <si>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</si>
  <si>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</si>
  <si>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</si>
  <si>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</si>
  <si>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</si>
  <si>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</si>
  <si>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</si>
  <si>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</si>
  <si>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</si>
  <si>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</si>
  <si>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</si>
  <si>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</si>
  <si>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</si>
  <si>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</si>
  <si>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</si>
  <si>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</si>
  <si>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</si>
  <si>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</si>
  <si>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</si>
  <si>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</si>
  <si>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</si>
  <si>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</si>
  <si>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</si>
  <si>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</si>
  <si>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</si>
  <si>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</si>
  <si>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</si>
  <si>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</si>
  <si>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</si>
  <si>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</si>
  <si>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</si>
  <si>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</si>
  <si>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</si>
  <si>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</si>
  <si>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</si>
  <si>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</si>
  <si>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0.93% of revenue, which is too low to be the company's real investment - property trusts and similar structures invest through lines that are not reported as capex. Capex has been set to 1.00% of revenue so the forecast is not handed free growth. Override it if the reported figure is right.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</si>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</sst>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0.02849733998708981</v>
      </c>
    </row>
    <row r="7" spans="1:2" x14ac:dyDescent="0.25">
      <c r="A7" t="s">
        <v>4</v>
      </c>
      <c r="B7" s="5">
        <v>0.5764530502139726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0.012847210788422521</v>
      </c>
    </row>
    <row r="10" spans="1:3" x14ac:dyDescent="0.25">
      <c r="A10" t="s">
        <v>7</v>
      </c>
      <c r="B10" s="5">
        <v>0.01</v>
      </c>
      <c r="C10" s="6" t="s">
        <v>8</v>
      </c>
    </row>
    <row r="11" spans="1:2" x14ac:dyDescent="0.25">
      <c r="A11" t="s">
        <v>9</v>
      </c>
      <c r="B11" s="5">
        <v>0.0316434595772434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12.27810585806032</v>
      </c>
    </row>
    <row r="14" spans="1:3" x14ac:dyDescent="0.25">
      <c r="A14" t="s">
        <v>12</v>
      </c>
      <c r="B14" s="5">
        <v>0.4098164489540608</v>
      </c>
      <c r="C14" s="6" t="s">
        <v>13</v>
      </c>
    </row>
    <row r="15" spans="1:3" x14ac:dyDescent="0.25">
      <c r="A15" t="s">
        <v>14</v>
      </c>
      <c r="B15" s="5">
        <v>0.007065856687141487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0.63887</v>
      </c>
      <c r="C19" s="6" t="s">
        <v>21</v>
      </c>
    </row>
    <row r="20" spans="1:2" x14ac:dyDescent="0.25">
      <c r="A20" t="s">
        <v>22</v>
      </c>
      <c r="B20" s="9">
        <f>B17+B19*B18</f>
        <v>0.07596420100000001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129797980160</v>
      </c>
    </row>
    <row r="23" spans="1:2" x14ac:dyDescent="0.25">
      <c r="A23" t="s">
        <v>26</v>
      </c>
      <c r="B23" s="10">
        <v>25709000000</v>
      </c>
    </row>
    <row r="24" spans="1:2" x14ac:dyDescent="0.25">
      <c r="A24" t="s">
        <v>27</v>
      </c>
      <c r="B24" s="9">
        <f>B22/(B22+B23)</f>
        <v>0.8346762314235142</v>
      </c>
    </row>
    <row r="25" spans="1:2" x14ac:dyDescent="0.25">
      <c r="A25" t="s">
        <v>28</v>
      </c>
      <c r="B25" s="9">
        <f>1-B24</f>
        <v>0.16532376857648579</v>
      </c>
    </row>
    <row r="26" spans="1:2" x14ac:dyDescent="0.25">
      <c r="A26" t="s">
        <v>29</v>
      </c>
      <c r="B26" s="11">
        <f>B24*B20+B25*B21*(1-B8)</f>
        <v>0.07031978285744529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20139000000</v>
      </c>
      <c r="C29" s="6" t="s">
        <v>32</v>
      </c>
    </row>
    <row r="30" spans="1:2" x14ac:dyDescent="0.25">
      <c r="A30" t="s">
        <v>33</v>
      </c>
      <c r="B30" s="10">
        <v>21235000000</v>
      </c>
    </row>
    <row r="31" spans="1:2" x14ac:dyDescent="0.25">
      <c r="A31" t="s">
        <v>34</v>
      </c>
      <c r="B31" s="12">
        <v>1683000000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0.02849733998708981</v>
      </c>
      <c r="C5" s="5">
        <v>0.009537389470740454</v>
      </c>
      <c r="D5" s="5">
        <v>0.011470215786897896</v>
      </c>
      <c r="E5" s="5">
        <v>0.01340304210305534</v>
      </c>
      <c r="F5" s="5">
        <v>0.015335868419212785</v>
      </c>
      <c r="G5" s="5">
        <v>0.017268694735370228</v>
      </c>
      <c r="H5" s="5">
        <v>0.01920152105152767</v>
      </c>
      <c r="I5" s="5">
        <v>0.021134347367685116</v>
      </c>
      <c r="J5" s="5">
        <v>0.02306717368384256</v>
      </c>
      <c r="K5" s="5">
        <v>0.025</v>
      </c>
    </row>
    <row r="6" spans="1:11" x14ac:dyDescent="0.25">
      <c r="A6" t="s">
        <v>50</v>
      </c>
      <c r="B6" s="18">
        <f>Assumptions!B29*(1+B5)</f>
        <v>20712907930</v>
      </c>
      <c r="C6" s="18">
        <f>B6*(1+C5)</f>
        <v>20910455000</v>
      </c>
      <c r="D6" s="18">
        <f>C6*(1+D5)</f>
        <v>21150302431.05222</v>
      </c>
      <c r="E6" s="18">
        <f>D6*(1+E5)</f>
        <v>21433780825.027966</v>
      </c>
      <c r="F6" s="18">
        <f>E6*(1+F5)</f>
        <v>21762486467.486843</v>
      </c>
      <c r="G6" s="18">
        <f>F6*(1+G5)</f>
        <v>22138296202.976498</v>
      </c>
      <c r="H6" s="18">
        <f>G6*(1+H5)</f>
        <v>22563385163.56291</v>
      </c>
      <c r="I6" s="18">
        <f>H6*(1+I5)</f>
        <v>23040247583.400517</v>
      </c>
      <c r="J6" s="18">
        <f>I6*(1+J5)</f>
        <v>23571720976.12555</v>
      </c>
      <c r="K6" s="18">
        <f>J6*(1+K5)</f>
        <v>24161014000.528687</v>
      </c>
    </row>
    <row r="7" spans="1:11" x14ac:dyDescent="0.25">
      <c r="A7" t="s">
        <v>4</v>
      </c>
      <c r="B7" s="9">
        <f>Assumptions!B7</f>
        <v>0.5764530502139726</v>
      </c>
      <c r="C7" s="9">
        <f>Assumptions!B7</f>
        <v>0.5764530502139726</v>
      </c>
      <c r="D7" s="9">
        <f>Assumptions!B7</f>
        <v>0.5764530502139726</v>
      </c>
      <c r="E7" s="9">
        <f>Assumptions!B7</f>
        <v>0.5764530502139726</v>
      </c>
      <c r="F7" s="9">
        <f>Assumptions!B7</f>
        <v>0.5764530502139726</v>
      </c>
      <c r="G7" s="9">
        <f>Assumptions!B7</f>
        <v>0.5764530502139726</v>
      </c>
      <c r="H7" s="9">
        <f>Assumptions!B7</f>
        <v>0.5764530502139726</v>
      </c>
      <c r="I7" s="9">
        <f>Assumptions!B7</f>
        <v>0.5764530502139726</v>
      </c>
      <c r="J7" s="9">
        <f>Assumptions!B7</f>
        <v>0.5764530502139726</v>
      </c>
      <c r="K7" s="9">
        <f>Assumptions!B7</f>
        <v>0.5764530502139726</v>
      </c>
    </row>
    <row r="8" spans="1:11" x14ac:dyDescent="0.25">
      <c r="A8" t="s">
        <v>51</v>
      </c>
      <c r="B8" s="18">
        <f>B6*B7</f>
        <v>11940018955.049683</v>
      </c>
      <c r="C8" s="18">
        <f>C6*C7</f>
        <v>12053895566.112015</v>
      </c>
      <c r="D8" s="18">
        <f>D6*D7</f>
        <v>12192156349.328053</v>
      </c>
      <c r="E8" s="18">
        <f>E6*E7</f>
        <v>12355568334.20513</v>
      </c>
      <c r="F8" s="18">
        <f>F6*F7</f>
        <v>12545051704.423094</v>
      </c>
      <c r="G8" s="18">
        <f>G6*G7</f>
        <v>12761688372.74621</v>
      </c>
      <c r="H8" s="18">
        <f>H6*H7</f>
        <v>13006732200.688534</v>
      </c>
      <c r="I8" s="18">
        <f>I6*I7</f>
        <v>13281620997.13634</v>
      </c>
      <c r="J8" s="18">
        <f>J6*J7</f>
        <v>13587990455.480253</v>
      </c>
      <c r="K8" s="18">
        <f>K6*K7</f>
        <v>13927690216.867258</v>
      </c>
    </row>
    <row r="9" spans="1:11" x14ac:dyDescent="0.25">
      <c r="A9" t="s">
        <v>52</v>
      </c>
      <c r="B9" s="18">
        <f>B8*(1-Assumptions!B8)</f>
        <v>9432614974.48925</v>
      </c>
      <c r="C9" s="18">
        <f>C8*(1-Assumptions!B8)</f>
        <v>9522577497.228493</v>
      </c>
      <c r="D9" s="18">
        <f>D8*(1-Assumptions!B8)</f>
        <v>9631803515.969162</v>
      </c>
      <c r="E9" s="18">
        <f>E8*(1-Assumptions!B8)</f>
        <v>9760898984.022053</v>
      </c>
      <c r="F9" s="18">
        <f>F8*(1-Assumptions!B8)</f>
        <v>9910590846.494244</v>
      </c>
      <c r="G9" s="18">
        <f>G8*(1-Assumptions!B8)</f>
        <v>10081733814.469507</v>
      </c>
      <c r="H9" s="18">
        <f>H8*(1-Assumptions!B8)</f>
        <v>10275318438.543941</v>
      </c>
      <c r="I9" s="18">
        <f>I8*(1-Assumptions!B8)</f>
        <v>10492480587.737709</v>
      </c>
      <c r="J9" s="18">
        <f>J8*(1-Assumptions!B8)</f>
        <v>10734512459.829401</v>
      </c>
      <c r="K9" s="18">
        <f>K8*(1-Assumptions!B8)</f>
        <v>11002875271.325134</v>
      </c>
    </row>
    <row r="10" spans="1:11" x14ac:dyDescent="0.25">
      <c r="A10" t="s">
        <v>53</v>
      </c>
      <c r="B10" s="18">
        <f>B6*Assumptions!B9</f>
        <v>266103094.2178984</v>
      </c>
      <c r="C10" s="18">
        <f>C6*Assumptions!B9</f>
        <v>268641023.06682366</v>
      </c>
      <c r="D10" s="18">
        <f>D6*Assumptions!B9</f>
        <v>271722393.57061315</v>
      </c>
      <c r="E10" s="18">
        <f>E6*Assumptions!B9</f>
        <v>275364300.25198305</v>
      </c>
      <c r="F10" s="18">
        <f>F6*Assumptions!B9</f>
        <v>279587250.9279961</v>
      </c>
      <c r="G10" s="18">
        <f>G6*Assumptions!B9</f>
        <v>284415357.816173</v>
      </c>
      <c r="H10" s="18">
        <f>H6*Assumptions!B9</f>
        <v>289876565.29665804</v>
      </c>
      <c r="I10" s="18">
        <f>I6*Assumptions!B9</f>
        <v>296002917.321389</v>
      </c>
      <c r="J10" s="18">
        <f>J6*Assumptions!B9</f>
        <v>302830868.0261656</v>
      </c>
      <c r="K10" s="18">
        <f>K6*Assumptions!B9</f>
        <v>310401639.7268197</v>
      </c>
    </row>
    <row r="11" spans="1:11" x14ac:dyDescent="0.25">
      <c r="A11" t="s">
        <v>54</v>
      </c>
      <c r="B11" s="18">
        <f>-B6*B19</f>
        <v>-207129079.3</v>
      </c>
      <c r="C11" s="18">
        <f>-C6*C19</f>
        <v>-267479746.0258608</v>
      </c>
      <c r="D11" s="18">
        <f>-D6*D19</f>
        <v>-329592568.5522819</v>
      </c>
      <c r="E11" s="18">
        <f>-E6*E19</f>
        <v>-393846263.3130236</v>
      </c>
      <c r="F11" s="18">
        <f>-F6*F19</f>
        <v>-460640028.821165</v>
      </c>
      <c r="G11" s="18">
        <f>-G6*G19</f>
        <v>-530397610.5697711</v>
      </c>
      <c r="H11" s="18">
        <f>-H6*H19</f>
        <v>-603571691.4186419</v>
      </c>
      <c r="I11" s="18">
        <f>-I6*I19</f>
        <v>-680648670.1017814</v>
      </c>
      <c r="J11" s="18">
        <f>-J6*J19</f>
        <v>-762153897.1114727</v>
      </c>
      <c r="K11" s="18">
        <f>-K6*K19</f>
        <v>-848657445.1060061</v>
      </c>
    </row>
    <row r="12" spans="1:11" x14ac:dyDescent="0.25">
      <c r="A12" t="s">
        <v>55</v>
      </c>
      <c r="B12" s="18">
        <f>-(B6-Assumptions!B29)*Assumptions!B11</f>
        <v>-18160432.384014435</v>
      </c>
      <c r="C12" s="18">
        <f>-(C6-B6)*Assumptions!B11</f>
        <v>-6251072.724147872</v>
      </c>
      <c r="D12" s="18">
        <f>-(D6-C6)*Assumptions!B11</f>
        <v>-7589602.489206577</v>
      </c>
      <c r="E12" s="18">
        <f>-(E6-D6)*Assumptions!B11</f>
        <v>-8970237.100793403</v>
      </c>
      <c r="F12" s="18">
        <f>-(F6-E6)*Assumptions!B11</f>
        <v>-10401383.709959313</v>
      </c>
      <c r="G12" s="18">
        <f>-(G6-F6)*Assumptions!B11</f>
        <v>-11891920.173701417</v>
      </c>
      <c r="H12" s="18">
        <f>-(H6-G6)*Assumptions!B11</f>
        <v>-13451285.341048494</v>
      </c>
      <c r="I12" s="18">
        <f>-(I6-H6)*Assumptions!B11</f>
        <v>-15089576.706037829</v>
      </c>
      <c r="J12" s="18">
        <f>-(J6-I6)*Assumptions!B11</f>
        <v>-16817656.81907498</v>
      </c>
      <c r="K12" s="18">
        <f>-(K6-J6)*Assumptions!B11</f>
        <v>-18647269.996852178</v>
      </c>
    </row>
    <row r="13" spans="1:11" x14ac:dyDescent="0.25">
      <c r="A13" s="19" t="s">
        <v>56</v>
      </c>
      <c r="B13" s="20">
        <f>B9+B10+B11+B12</f>
        <v>9473428557.023136</v>
      </c>
      <c r="C13" s="20">
        <f>C9+C10+C11+C12</f>
        <v>9517487701.545307</v>
      </c>
      <c r="D13" s="20">
        <f>D9+D10+D11+D12</f>
        <v>9566343738.498287</v>
      </c>
      <c r="E13" s="20">
        <f>E9+E10+E11+E12</f>
        <v>9633446783.860218</v>
      </c>
      <c r="F13" s="20">
        <f>F9+F10+F11+F12</f>
        <v>9719136684.891115</v>
      </c>
      <c r="G13" s="20">
        <f>G9+G10+G11+G12</f>
        <v>9823859641.542208</v>
      </c>
      <c r="H13" s="20">
        <f>H9+H10+H11+H12</f>
        <v>9948172027.080908</v>
      </c>
      <c r="I13" s="20">
        <f>I9+I10+I11+I12</f>
        <v>10092745258.251278</v>
      </c>
      <c r="J13" s="20">
        <f>J9+J10+J11+J12</f>
        <v>10258371773.925018</v>
      </c>
      <c r="K13" s="20">
        <f>K9+K10+K11+K12</f>
        <v>10445972195.949095</v>
      </c>
    </row>
    <row r="14" spans="1:11" x14ac:dyDescent="0.25">
      <c r="A14" t="s">
        <v>57</v>
      </c>
      <c r="B14" s="21">
        <f>1/(1+Assumptions!$B$26)^(1-0.5*Assumptions!$B$32)</f>
        <v>0.9665920607839508</v>
      </c>
      <c r="C14" s="21">
        <f>1/(1+Assumptions!$B$26)^(2-0.5*Assumptions!$B$32)</f>
        <v>0.9030871672795101</v>
      </c>
      <c r="D14" s="21">
        <f>1/(1+Assumptions!$B$26)^(3-0.5*Assumptions!$B$32)</f>
        <v>0.8437545318171432</v>
      </c>
      <c r="E14" s="21">
        <f>1/(1+Assumptions!$B$26)^(4-0.5*Assumptions!$B$32)</f>
        <v>0.7883200379278815</v>
      </c>
      <c r="F14" s="21">
        <f>1/(1+Assumptions!$B$26)^(5-0.5*Assumptions!$B$32)</f>
        <v>0.7365275785366634</v>
      </c>
      <c r="G14" s="21">
        <f>1/(1+Assumptions!$B$26)^(6-0.5*Assumptions!$B$32)</f>
        <v>0.6881378727489714</v>
      </c>
      <c r="H14" s="21">
        <f>1/(1+Assumptions!$B$26)^(7-0.5*Assumptions!$B$32)</f>
        <v>0.6429273603743374</v>
      </c>
      <c r="I14" s="21">
        <f>1/(1+Assumptions!$B$26)^(8-0.5*Assumptions!$B$32)</f>
        <v>0.6006871690794191</v>
      </c>
      <c r="J14" s="21">
        <f>1/(1+Assumptions!$B$26)^(9-0.5*Assumptions!$B$32)</f>
        <v>0.5612221493988997</v>
      </c>
      <c r="K14" s="21">
        <f>1/(1+Assumptions!$B$26)^(10-0.5*Assumptions!$B$32)</f>
        <v>0.524349973145968</v>
      </c>
    </row>
    <row r="15" spans="1:11" x14ac:dyDescent="0.25">
      <c r="A15" s="19" t="s">
        <v>58</v>
      </c>
      <c r="B15" s="20">
        <f>B13*B14</f>
        <v>9156940831.622522</v>
      </c>
      <c r="C15" s="20">
        <f>C13*C14</f>
        <v>8595121008.006126</v>
      </c>
      <c r="D15" s="20">
        <f>D13*D14</f>
        <v>8071645882.2784815</v>
      </c>
      <c r="E15" s="20">
        <f>E13*E14</f>
        <v>7594239134.028915</v>
      </c>
      <c r="F15" s="20">
        <f>F13*F14</f>
        <v>7158412207.989707</v>
      </c>
      <c r="G15" s="20">
        <f>G13*G14</f>
        <v>6760169875.915328</v>
      </c>
      <c r="H15" s="20">
        <f>H13*H14</f>
        <v>6395951981.920949</v>
      </c>
      <c r="I15" s="20">
        <f>I13*I14</f>
        <v>6062582577.418691</v>
      </c>
      <c r="J15" s="20">
        <f>J13*J14</f>
        <v>5757225456.295202</v>
      </c>
      <c r="K15" s="20">
        <f>K13*K14</f>
        <v>5477345240.429436</v>
      </c>
    </row>
    <row r="17" spans="1:2" x14ac:dyDescent="0.25">
      <c r="A17" s="22" t="s">
        <v>59</v>
      </c>
      <c r="B17" s="23">
        <f>SUM(B15:K15)</f>
        <v>71029634195.90536</v>
      </c>
    </row>
    <row r="19" spans="1:11" x14ac:dyDescent="0.25">
      <c r="A19" t="s">
        <v>7</v>
      </c>
      <c r="B19" s="9">
        <f>Assumptions!$B$10+($B$20-Assumptions!$B$10)*0/9</f>
        <v>0.01</v>
      </c>
      <c r="C19" s="9">
        <f>Assumptions!$B$10+($B$20-Assumptions!$B$10)*1/9</f>
        <v>0.012791675074782485</v>
      </c>
      <c r="D19" s="9">
        <f>Assumptions!$B$10+($B$20-Assumptions!$B$10)*2/9</f>
        <v>0.015583350149564969</v>
      </c>
      <c r="E19" s="9">
        <f>Assumptions!$B$10+($B$20-Assumptions!$B$10)*3/9</f>
        <v>0.018375025224347454</v>
      </c>
      <c r="F19" s="9">
        <f>Assumptions!$B$10+($B$20-Assumptions!$B$10)*4/9</f>
        <v>0.02116670029912994</v>
      </c>
      <c r="G19" s="9">
        <f>Assumptions!$B$10+($B$20-Assumptions!$B$10)*5/9</f>
        <v>0.023958375373912426</v>
      </c>
      <c r="H19" s="9">
        <f>Assumptions!$B$10+($B$20-Assumptions!$B$10)*6/9</f>
        <v>0.026750050448694905</v>
      </c>
      <c r="I19" s="9">
        <f>Assumptions!$B$10+($B$20-Assumptions!$B$10)*7/9</f>
        <v>0.02954172552347739</v>
      </c>
      <c r="J19" s="9">
        <f>Assumptions!$B$10+($B$20-Assumptions!$B$10)*8/9</f>
        <v>0.03233340059825988</v>
      </c>
      <c r="K19" s="9">
        <f>Assumptions!$B$10+($B$20-Assumptions!$B$10)*9/9</f>
        <v>0.035125075673042364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0.035125075673042364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10445972195.949095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11113225139.457756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0.061002919877436224</v>
      </c>
    </row>
    <row r="7" spans="1:2" x14ac:dyDescent="0.25">
      <c r="A7" t="s">
        <v>66</v>
      </c>
      <c r="B7" s="18">
        <f>-MAX(B5,0)*B6</f>
        <v>-677939182.7622515</v>
      </c>
    </row>
    <row r="8" spans="1:2" x14ac:dyDescent="0.25">
      <c r="A8" t="s">
        <v>67</v>
      </c>
      <c r="B8" s="18">
        <f>IF(OR(Assumptions!$B$33=0,Assumptions!B12&lt;=0),B5,MAX(B5+B7,0))</f>
        <v>10435285956.695505</v>
      </c>
    </row>
    <row r="9" spans="1:2" x14ac:dyDescent="0.25">
      <c r="A9" t="s">
        <v>68</v>
      </c>
      <c r="B9" s="18">
        <f>B8*(1+Assumptions!B12)/(Assumptions!B26-Assumptions!B12)</f>
        <v>236015431478.52237</v>
      </c>
    </row>
    <row r="10" spans="1:2" x14ac:dyDescent="0.25">
      <c r="A10" t="s">
        <v>69</v>
      </c>
      <c r="B10" s="18">
        <f>B9/(1+Assumptions!B26)^(10-0.5*Assumptions!B32)</f>
        <v>123754685157.79726</v>
      </c>
    </row>
    <row r="11" spans="1:2" x14ac:dyDescent="0.25">
      <c r="A11" t="s">
        <v>70</v>
      </c>
      <c r="B11" s="18">
        <f>Forecast!B17+B10</f>
        <v>194784319353.70264</v>
      </c>
    </row>
    <row r="12" spans="1:2" x14ac:dyDescent="0.25">
      <c r="A12" t="s">
        <v>71</v>
      </c>
      <c r="B12" s="18">
        <f>-Assumptions!B30</f>
        <v>-21235000000</v>
      </c>
    </row>
    <row r="13" spans="1:2" x14ac:dyDescent="0.25">
      <c r="A13" t="s">
        <v>72</v>
      </c>
      <c r="B13" s="18">
        <f>B11+B12</f>
        <v>173549319353.70264</v>
      </c>
    </row>
    <row r="14" spans="1:2" x14ac:dyDescent="0.25">
      <c r="A14" s="19" t="s">
        <v>73</v>
      </c>
      <c r="B14" s="24">
        <f>B13/Assumptions!B31</f>
        <v>103.11902516559871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14238091856.594078</v>
      </c>
    </row>
    <row r="18" spans="1:2" x14ac:dyDescent="0.25">
      <c r="A18" t="s">
        <v>68</v>
      </c>
      <c r="B18" s="18">
        <f>B17*Assumptions!B13</f>
        <v>174816799032.04868</v>
      </c>
    </row>
    <row r="19" spans="1:2" x14ac:dyDescent="0.25">
      <c r="A19" t="s">
        <v>69</v>
      </c>
      <c r="B19" s="18">
        <f>B18/(1+Assumptions!B26)^(10-0.5*Assumptions!B32)</f>
        <v>91665183877.91881</v>
      </c>
    </row>
    <row r="20" spans="1:2" x14ac:dyDescent="0.25">
      <c r="A20" t="s">
        <v>70</v>
      </c>
      <c r="B20" s="18">
        <f>Forecast!B17+B19</f>
        <v>162694818073.82416</v>
      </c>
    </row>
    <row r="21" spans="1:2" x14ac:dyDescent="0.25">
      <c r="A21" t="s">
        <v>71</v>
      </c>
      <c r="B21" s="18">
        <f>-Assumptions!B30</f>
        <v>-21235000000</v>
      </c>
    </row>
    <row r="22" spans="1:2" x14ac:dyDescent="0.25">
      <c r="A22" t="s">
        <v>72</v>
      </c>
      <c r="B22" s="18">
        <f>B20+B21</f>
        <v>141459818073.82416</v>
      </c>
    </row>
    <row r="23" spans="1:2" x14ac:dyDescent="0.25">
      <c r="A23" s="19" t="s">
        <v>73</v>
      </c>
      <c r="B23" s="25">
        <f>B22/Assumptions!B31</f>
        <v>84.05217948533819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78.03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103.11902516559871</v>
      </c>
    </row>
    <row r="29" spans="1:2" x14ac:dyDescent="0.25">
      <c r="A29" s="19" t="s">
        <v>81</v>
      </c>
      <c r="B29" s="11">
        <f>B28/B26-1</f>
        <v>0.32153050321156873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0.05032</v>
      </c>
      <c r="B5" s="31">
        <v>148.63288066608516</v>
      </c>
      <c r="C5" s="31">
        <v>166.2282926677931</v>
      </c>
      <c r="D5" s="31">
        <v>190.86064270168796</v>
      </c>
      <c r="E5" s="31">
        <v>227.72452085058484</v>
      </c>
      <c r="F5" s="31">
        <v>288.79596639157467</v>
      </c>
    </row>
    <row r="6" spans="1:6" x14ac:dyDescent="0.25">
      <c r="A6" s="30">
        <v>0.06032</v>
      </c>
      <c r="B6" s="31">
        <v>113.6217881875502</v>
      </c>
      <c r="C6" s="31">
        <v>122.77801411835732</v>
      </c>
      <c r="D6" s="31">
        <v>134.58599971477452</v>
      </c>
      <c r="E6" s="31">
        <v>150.3576313549071</v>
      </c>
      <c r="F6" s="31">
        <v>172.44104058124054</v>
      </c>
    </row>
    <row r="7" spans="1:6" x14ac:dyDescent="0.25">
      <c r="A7" s="30">
        <v>0.07032</v>
      </c>
      <c r="B7" s="31">
        <v>91.27000040310169</v>
      </c>
      <c r="C7" s="31">
        <v>96.5858828042741</v>
      </c>
      <c r="D7" s="32">
        <v>103.11849235813762</v>
      </c>
      <c r="E7" s="31">
        <v>111.32048053518737</v>
      </c>
      <c r="F7" s="31">
        <v>121.90081334187279</v>
      </c>
    </row>
    <row r="8" spans="1:6" x14ac:dyDescent="0.25">
      <c r="A8" s="30">
        <v>0.08032</v>
      </c>
      <c r="B8" s="31">
        <v>75.76307638975122</v>
      </c>
      <c r="C8" s="31">
        <v>79.06911351868787</v>
      </c>
      <c r="D8" s="31">
        <v>83.00669249762929</v>
      </c>
      <c r="E8" s="31">
        <v>87.76407103226057</v>
      </c>
      <c r="F8" s="31">
        <v>93.6125861335117</v>
      </c>
    </row>
    <row r="9" spans="1:6" x14ac:dyDescent="0.25">
      <c r="A9" s="30">
        <v>0.09032</v>
      </c>
      <c r="B9" s="31">
        <v>64.37446430946471</v>
      </c>
      <c r="C9" s="31">
        <v>66.52701841286154</v>
      </c>
      <c r="D9" s="31">
        <v>69.03631799997115</v>
      </c>
      <c r="E9" s="31">
        <v>71.99107630447547</v>
      </c>
      <c r="F9" s="31">
        <v>75.51207931265287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20139000000</v>
      </c>
      <c r="C5" s="18">
        <v>20444000000</v>
      </c>
      <c r="D5" s="18">
        <v>20502000000</v>
      </c>
      <c r="E5" s="18">
        <v>20688000000</v>
      </c>
      <c r="F5" s="6" t="s">
        <v>91</v>
      </c>
    </row>
    <row r="6" spans="1:6" x14ac:dyDescent="0.25">
      <c r="A6" t="s">
        <v>51</v>
      </c>
      <c r="B6" s="18">
        <v>12035000000</v>
      </c>
      <c r="C6" s="18">
        <v>11630000000</v>
      </c>
      <c r="D6" s="18">
        <v>11547000000</v>
      </c>
      <c r="E6" s="18">
        <v>11919000000</v>
      </c>
      <c r="F6" s="6" t="s">
        <v>92</v>
      </c>
    </row>
    <row r="7" spans="1:6" x14ac:dyDescent="0.25">
      <c r="A7" t="s">
        <v>93</v>
      </c>
      <c r="B7" s="18">
        <v>266000000</v>
      </c>
      <c r="C7" s="18">
        <v>286000000</v>
      </c>
      <c r="D7" s="18">
        <v>272000000</v>
      </c>
      <c r="E7" s="18">
        <v>226000000</v>
      </c>
      <c r="F7" s="6" t="s">
        <v>94</v>
      </c>
    </row>
    <row r="8" spans="1:6" x14ac:dyDescent="0.25">
      <c r="A8" t="s">
        <v>95</v>
      </c>
      <c r="B8" s="18">
        <v>216000000</v>
      </c>
      <c r="C8" s="18">
        <v>142000000</v>
      </c>
      <c r="D8" s="18">
        <v>196000000</v>
      </c>
      <c r="E8" s="18">
        <v>205000000</v>
      </c>
      <c r="F8" s="6" t="s">
        <v>96</v>
      </c>
    </row>
    <row r="9" spans="1:6" x14ac:dyDescent="0.25">
      <c r="A9" t="s">
        <v>97</v>
      </c>
      <c r="B9" s="18">
        <v>-76000000</v>
      </c>
      <c r="C9" s="18">
        <v>-151000000</v>
      </c>
      <c r="D9" s="18">
        <v>47000000</v>
      </c>
      <c r="E9" s="18">
        <v>586000000</v>
      </c>
      <c r="F9" s="6" t="s">
        <v>98</v>
      </c>
    </row>
    <row r="10" spans="1:6" x14ac:dyDescent="0.25">
      <c r="A10" t="s">
        <v>99</v>
      </c>
      <c r="B10" s="18">
        <v>25709000000</v>
      </c>
      <c r="C10" s="18">
        <v>24926000000</v>
      </c>
      <c r="D10" s="18">
        <v>26233000000</v>
      </c>
      <c r="E10" s="18">
        <v>26680000000</v>
      </c>
      <c r="F10" s="6" t="s">
        <v>100</v>
      </c>
    </row>
    <row r="11" spans="1:6" x14ac:dyDescent="0.25">
      <c r="A11" t="s">
        <v>101</v>
      </c>
      <c r="B11" s="18">
        <v>4474000000</v>
      </c>
      <c r="C11" s="18">
        <v>3127000000</v>
      </c>
      <c r="D11" s="18">
        <v>3686000000</v>
      </c>
      <c r="E11" s="18">
        <v>4030000000</v>
      </c>
      <c r="F11" s="6" t="s">
        <v>102</v>
      </c>
    </row>
    <row r="12" spans="1:6" x14ac:dyDescent="0.25">
      <c r="A12" t="s">
        <v>34</v>
      </c>
      <c r="B12" s="34">
        <v>1683000000</v>
      </c>
      <c r="C12" s="34">
        <v>1718000000</v>
      </c>
      <c r="D12" s="34">
        <v>1777000000</v>
      </c>
      <c r="E12" s="34">
        <v>1804000000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