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<sst xmlns="http://schemas.openxmlformats.org/spreadsheetml/2006/main" count="112" uniqueCount="100">
  <si>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Altria Group, Inc. (MO)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</si>
  <si>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</si>
  <si>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</si>
  <si>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</si>
  <si>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</si>
  <si>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</si>
  <si>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</si>
  <si>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</si>
  <si>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</si>
  <si>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</si>
  <si>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</si>
  <si>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</si>
  <si>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</si>
  <si>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</si>
  <si>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</si>
  <si>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</si>
  <si>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</si>
  <si>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</si>
  <si>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</si>
  <si>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</si>
  <si>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</si>
  <si>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</si>
  <si>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</si>
  <si>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</si>
  <si>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</si>
  <si>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</si>
  <si>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</si>
  <si>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</si>
  <si>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</si>
  <si>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</si>
  <si>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</si>
  <si>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</si>
  <si>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</si>
  <si>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</si>
  <si>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</si>
  <si>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</si>
  <si>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</si>
  <si>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</si>
  <si>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</si>
  <si>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</si>
  <si>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</si>
  <si>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</si>
  <si>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</si>
  <si>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</si>
  <si>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</si>
  <si>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</si>
  <si>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</si>
  <si>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</si>
  <si>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</si>
  <si>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</si>
  <si>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</si>
  <si>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</si>
  <si>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</si>
  <si>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</si>
  <si>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</si>
  <si>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</si>
  <si>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</si>
  <si>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</si>
  <si>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</si>
  <si>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</si>
  <si>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</si>
  <si>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</si>
  <si>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</si>
  <si>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</si>
  <si>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</si>
  <si>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</si>
  <si>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</si>
  <si>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</si>
  <si>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</si>
  <si>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</si>
  <si>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</si>
  <si>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</si>
  <si>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</si>
  <si>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</si>
  <si>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</si>
  <si>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</si>
  <si>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</si>
  <si>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</si>
  <si>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</si>
  <si>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</si>
  <si>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</si>
  <si>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</si>
  <si>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</si>
  <si>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</si>
  <si>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</si>
  <si>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</si>
  <si>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</si>
  <si>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</si>
  <si>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</si>
  <si>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</si>
  <si>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</si>
  <si>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</si>
  <si>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</si>
  <si>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</si>
  <si>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</si>
  <si>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</si>
  <si>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</si>
  <si>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</si>
  <si>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0.93%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</si>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</sst>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-0.008925128591255382</v>
      </c>
    </row>
    <row r="7" spans="1:2" x14ac:dyDescent="0.25">
      <c r="A7" t="s">
        <v>5</v>
      </c>
      <c r="B7" s="6">
        <v>0.5764530502139726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0.012847210788422521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0.24918032786885247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11.162961616779123</v>
      </c>
    </row>
    <row r="14" spans="1:3" x14ac:dyDescent="0.25">
      <c r="A14" t="s">
        <v>12</v>
      </c>
      <c r="B14" s="6">
        <v>0.4098164489540608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0.6609799999999999</v>
      </c>
      <c r="C19" s="8" t="s">
        <v>19</v>
      </c>
    </row>
    <row r="20" spans="1:2" x14ac:dyDescent="0.25">
      <c r="A20" t="s">
        <v>20</v>
      </c>
      <c r="B20" s="10">
        <f>B17+B19*B18</f>
        <v>0.08633389999999999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116080590848</v>
      </c>
    </row>
    <row r="23" spans="1:2" x14ac:dyDescent="0.25">
      <c r="A23" t="s">
        <v>24</v>
      </c>
      <c r="B23" s="11">
        <v>25709000000</v>
      </c>
    </row>
    <row r="24" spans="1:2" x14ac:dyDescent="0.25">
      <c r="A24" t="s">
        <v>25</v>
      </c>
      <c r="B24" s="10">
        <f>B22/(B22+B23)</f>
        <v>0.8186820354989223</v>
      </c>
    </row>
    <row r="25" spans="1:2" x14ac:dyDescent="0.25">
      <c r="A25" t="s">
        <v>26</v>
      </c>
      <c r="B25" s="10">
        <f>1-B24</f>
        <v>0.18131796450107773</v>
      </c>
    </row>
    <row r="26" spans="1:2" x14ac:dyDescent="0.25">
      <c r="A26" t="s">
        <v>27</v>
      </c>
      <c r="B26" s="12">
        <f>B24*B20+B25*B21*(1-B8)</f>
        <v>0.07783920775851384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20139000000</v>
      </c>
      <c r="C29" s="8" t="s">
        <v>30</v>
      </c>
    </row>
    <row r="30" spans="1:2" x14ac:dyDescent="0.25">
      <c r="A30" t="s">
        <v>31</v>
      </c>
      <c r="B30" s="11">
        <v>21235000000</v>
      </c>
    </row>
    <row r="31" spans="1:2" x14ac:dyDescent="0.25">
      <c r="A31" t="s">
        <v>32</v>
      </c>
      <c r="B31" s="13">
        <v>1683000000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-0.008925128591255382</v>
      </c>
      <c r="C5" s="10">
        <f>Assumptions!B6</f>
        <v>-0.008925128591255382</v>
      </c>
      <c r="D5" s="10">
        <f>Assumptions!B6</f>
        <v>-0.008925128591255382</v>
      </c>
      <c r="E5" s="10">
        <f>Assumptions!B6</f>
        <v>-0.008925128591255382</v>
      </c>
      <c r="F5" s="10">
        <f>Assumptions!B6</f>
        <v>-0.008925128591255382</v>
      </c>
    </row>
    <row r="6" spans="1:6" x14ac:dyDescent="0.25">
      <c r="A6" t="s">
        <v>43</v>
      </c>
      <c r="B6" s="18">
        <f>Assumptions!B29*(1+B5)</f>
        <v>19959256835.30071</v>
      </c>
      <c r="C6" s="18">
        <f>B6*(1+C5)</f>
        <v>19781117901.45976</v>
      </c>
      <c r="D6" s="18">
        <f>C6*(1+D5)</f>
        <v>19604568880.51045</v>
      </c>
      <c r="E6" s="18">
        <f>D6*(1+E5)</f>
        <v>19429595582.27577</v>
      </c>
      <c r="F6" s="18">
        <f>E6*(1+F5)</f>
        <v>19256183943.22787</v>
      </c>
    </row>
    <row r="7" spans="1:6" x14ac:dyDescent="0.25">
      <c r="A7" t="s">
        <v>5</v>
      </c>
      <c r="B7" s="10">
        <f>Assumptions!B7</f>
        <v>0.5764530502139726</v>
      </c>
      <c r="C7" s="10">
        <f>Assumptions!B7</f>
        <v>0.5764530502139726</v>
      </c>
      <c r="D7" s="10">
        <f>Assumptions!B7</f>
        <v>0.5764530502139726</v>
      </c>
      <c r="E7" s="10">
        <f>Assumptions!B7</f>
        <v>0.5764530502139726</v>
      </c>
      <c r="F7" s="10">
        <f>Assumptions!B7</f>
        <v>0.5764530502139726</v>
      </c>
    </row>
    <row r="8" spans="1:6" x14ac:dyDescent="0.25">
      <c r="A8" t="s">
        <v>44</v>
      </c>
      <c r="B8" s="18">
        <f>B6*B7</f>
        <v>11505574482.713177</v>
      </c>
      <c r="C8" s="18">
        <f>C6*C7</f>
        <v>11402885750.938696</v>
      </c>
      <c r="D8" s="18">
        <f>D6*D7</f>
        <v>11301113529.300175</v>
      </c>
      <c r="E8" s="18">
        <f>E6*E7</f>
        <v>11200249637.826794</v>
      </c>
      <c r="F8" s="18">
        <f>F6*F7</f>
        <v>11100285969.555029</v>
      </c>
    </row>
    <row r="9" spans="1:6" x14ac:dyDescent="0.25">
      <c r="A9" t="s">
        <v>45</v>
      </c>
      <c r="B9" s="18">
        <f>B8*(1-Assumptions!B8)</f>
        <v>9089403841.34341</v>
      </c>
      <c r="C9" s="18">
        <f>C8*(1-Assumptions!B8)</f>
        <v>9008279743.24157</v>
      </c>
      <c r="D9" s="18">
        <f>D8*(1-Assumptions!B8)</f>
        <v>8927879688.147139</v>
      </c>
      <c r="E9" s="18">
        <f>E8*(1-Assumptions!B8)</f>
        <v>8848197213.883167</v>
      </c>
      <c r="F9" s="18">
        <f>F8*(1-Assumptions!B8)</f>
        <v>8769225915.948473</v>
      </c>
    </row>
    <row r="10" spans="1:6" x14ac:dyDescent="0.25">
      <c r="A10" t="s">
        <v>46</v>
      </c>
      <c r="B10" s="18">
        <f>B6*Assumptions!B9</f>
        <v>256420779.74337122</v>
      </c>
      <c r="C10" s="18">
        <f>C6*Assumptions!B9</f>
        <v>254132191.31069168</v>
      </c>
      <c r="D10" s="18">
        <f>D6*Assumptions!B9</f>
        <v>251864028.82406625</v>
      </c>
      <c r="E10" s="18">
        <f>E6*Assumptions!B9</f>
        <v>249616109.9792998</v>
      </c>
      <c r="F10" s="18">
        <f>F6*Assumptions!B9</f>
        <v>247388254.09928563</v>
      </c>
    </row>
    <row r="11" spans="1:6" x14ac:dyDescent="0.25">
      <c r="A11" t="s">
        <v>47</v>
      </c>
      <c r="B11" s="18">
        <f>-B6*Assumptions!B10</f>
        <v>-199592568.35300708</v>
      </c>
      <c r="C11" s="18">
        <f>-C6*Assumptions!B10</f>
        <v>-197811179.0145976</v>
      </c>
      <c r="D11" s="18">
        <f>-D6*Assumptions!B10</f>
        <v>-196045688.8051045</v>
      </c>
      <c r="E11" s="18">
        <f>-E6*Assumptions!B10</f>
        <v>-194295955.8227577</v>
      </c>
      <c r="F11" s="18">
        <f>-F6*Assumptions!B10</f>
        <v>-192561839.43227872</v>
      </c>
    </row>
    <row r="12" spans="1:6" x14ac:dyDescent="0.25">
      <c r="A12" t="s">
        <v>48</v>
      </c>
      <c r="B12" s="18">
        <f>-(B6-Assumptions!B29)*Assumptions!B11</f>
        <v>44788460.711954534</v>
      </c>
      <c r="C12" s="18">
        <f>-(C6-B6)*Assumptions!B11</f>
        <v>44388717.94069574</v>
      </c>
      <c r="D12" s="18">
        <f>-(D6-C6)*Assumptions!B11</f>
        <v>43992542.92507404</v>
      </c>
      <c r="E12" s="18">
        <f>-(E6-D6)*Assumptions!B11</f>
        <v>43599903.82241211</v>
      </c>
      <c r="F12" s="18">
        <f>-(F6-E6)*Assumptions!B11</f>
        <v>43210769.07423016</v>
      </c>
    </row>
    <row r="13" spans="1:6" x14ac:dyDescent="0.25">
      <c r="A13" s="19" t="s">
        <v>49</v>
      </c>
      <c r="B13" s="20">
        <f>B9+B10+B11+B12</f>
        <v>9191020513.44573</v>
      </c>
      <c r="C13" s="20">
        <f>C9+C10+C11+C12</f>
        <v>9108989473.47836</v>
      </c>
      <c r="D13" s="20">
        <f>D9+D10+D11+D12</f>
        <v>9027690571.091173</v>
      </c>
      <c r="E13" s="20">
        <f>E9+E10+E11+E12</f>
        <v>8947117271.862122</v>
      </c>
      <c r="F13" s="20">
        <f>F9+F10+F11+F12</f>
        <v>8867263099.689709</v>
      </c>
    </row>
    <row r="14" spans="1:6" x14ac:dyDescent="0.25">
      <c r="A14" t="s">
        <v>50</v>
      </c>
      <c r="B14" s="21">
        <f>1/(1+Assumptions!$B$26)^(1-0.5*Assumptions!$B$32)</f>
        <v>0.9632144988779319</v>
      </c>
      <c r="C14" s="21">
        <f>1/(1+Assumptions!$B$26)^(2-0.5*Assumptions!$B$32)</f>
        <v>0.8936532387618773</v>
      </c>
      <c r="D14" s="21">
        <f>1/(1+Assumptions!$B$26)^(3-0.5*Assumptions!$B$32)</f>
        <v>0.8291155418444355</v>
      </c>
      <c r="E14" s="21">
        <f>1/(1+Assumptions!$B$26)^(4-0.5*Assumptions!$B$32)</f>
        <v>0.769238617296798</v>
      </c>
      <c r="F14" s="21">
        <f>1/(1+Assumptions!$B$26)^(5-0.5*Assumptions!$B$32)</f>
        <v>0.7136858742562492</v>
      </c>
    </row>
    <row r="15" spans="1:6" x14ac:dyDescent="0.25">
      <c r="A15" s="19" t="s">
        <v>51</v>
      </c>
      <c r="B15" s="20">
        <f>B13*B14</f>
        <v>8852924218.035421</v>
      </c>
      <c r="C15" s="20">
        <f>C13*C14</f>
        <v>8140277944.821783</v>
      </c>
      <c r="D15" s="20">
        <f>D13*D14</f>
        <v>7484998559.454159</v>
      </c>
      <c r="E15" s="20">
        <f>E13*E14</f>
        <v>6882468118.999517</v>
      </c>
      <c r="F15" s="20">
        <f>F13*F14</f>
        <v>6328440417.562228</v>
      </c>
    </row>
    <row r="17" spans="1:2" x14ac:dyDescent="0.25">
      <c r="A17" s="22" t="s">
        <v>52</v>
      </c>
      <c r="B17" s="23">
        <f>SUM(B15:F15)</f>
        <v>37689109258.87311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8867263099.689709</v>
      </c>
    </row>
    <row r="5" spans="1:2" x14ac:dyDescent="0.25">
      <c r="A5" t="s">
        <v>56</v>
      </c>
      <c r="B5" s="18">
        <f>IF(Assumptions!$B$33=0,B4,B4-Forecast!F11-Forecast!F10-Forecast!F12)</f>
        <v>8857174102.180483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0.061002919877436224</v>
      </c>
    </row>
    <row r="7" spans="1:2" x14ac:dyDescent="0.25">
      <c r="A7" t="s">
        <v>58</v>
      </c>
      <c r="B7" s="18">
        <f>-MAX(Forecast!F9,0)*B6</f>
        <v>-540313482.0958191</v>
      </c>
    </row>
    <row r="8" spans="1:2" x14ac:dyDescent="0.25">
      <c r="A8" t="s">
        <v>59</v>
      </c>
      <c r="B8" s="18">
        <f>IF(OR(Assumptions!$B$33=0,Assumptions!B12&lt;=0),B5,MAX(B5+B7,0))</f>
        <v>8316860620.084663</v>
      </c>
    </row>
    <row r="9" spans="1:2" x14ac:dyDescent="0.25">
      <c r="A9" t="s">
        <v>60</v>
      </c>
      <c r="B9" s="18">
        <f>B8*(1+Assumptions!B12)/(Assumptions!B26-Assumptions!B12)</f>
        <v>161334404833.37308</v>
      </c>
    </row>
    <row r="10" spans="1:2" x14ac:dyDescent="0.25">
      <c r="A10" t="s">
        <v>61</v>
      </c>
      <c r="B10" s="18">
        <f>B9/(1+Assumptions!B26)^(5-0.5*Assumptions!B32)</f>
        <v>115142085761.1175</v>
      </c>
    </row>
    <row r="11" spans="1:2" x14ac:dyDescent="0.25">
      <c r="A11" t="s">
        <v>62</v>
      </c>
      <c r="B11" s="18">
        <f>Forecast!B17+B10</f>
        <v>152831195019.9906</v>
      </c>
    </row>
    <row r="12" spans="1:2" x14ac:dyDescent="0.25">
      <c r="A12" t="s">
        <v>63</v>
      </c>
      <c r="B12" s="18">
        <f>-Assumptions!B30</f>
        <v>-21235000000</v>
      </c>
    </row>
    <row r="13" spans="1:2" x14ac:dyDescent="0.25">
      <c r="A13" t="s">
        <v>64</v>
      </c>
      <c r="B13" s="18">
        <f>B11+B12</f>
        <v>131596195019.9906</v>
      </c>
    </row>
    <row r="14" spans="1:2" x14ac:dyDescent="0.25">
      <c r="A14" s="19" t="s">
        <v>65</v>
      </c>
      <c r="B14" s="24">
        <f>B13/Assumptions!B31</f>
        <v>78.19144089126002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11347674223.654314</v>
      </c>
    </row>
    <row r="18" spans="1:2" x14ac:dyDescent="0.25">
      <c r="A18" t="s">
        <v>60</v>
      </c>
      <c r="B18" s="18">
        <f>B17*Assumptions!B13</f>
        <v>126673651798.36694</v>
      </c>
    </row>
    <row r="19" spans="1:2" x14ac:dyDescent="0.25">
      <c r="A19" t="s">
        <v>61</v>
      </c>
      <c r="B19" s="18">
        <f>B18/(1+Assumptions!B26)^(5-0.5*Assumptions!B32)</f>
        <v>90405195928.9492</v>
      </c>
    </row>
    <row r="20" spans="1:2" x14ac:dyDescent="0.25">
      <c r="A20" t="s">
        <v>62</v>
      </c>
      <c r="B20" s="18">
        <f>Forecast!B17+B19</f>
        <v>128094305187.82231</v>
      </c>
    </row>
    <row r="21" spans="1:2" x14ac:dyDescent="0.25">
      <c r="A21" t="s">
        <v>63</v>
      </c>
      <c r="B21" s="18">
        <f>-Assumptions!B30</f>
        <v>-21235000000</v>
      </c>
    </row>
    <row r="22" spans="1:2" x14ac:dyDescent="0.25">
      <c r="A22" t="s">
        <v>64</v>
      </c>
      <c r="B22" s="18">
        <f>B20+B21</f>
        <v>106859305187.82231</v>
      </c>
    </row>
    <row r="23" spans="1:2" x14ac:dyDescent="0.25">
      <c r="A23" s="19" t="s">
        <v>65</v>
      </c>
      <c r="B23" s="25">
        <f>B22/Assumptions!B31</f>
        <v>63.49334829935966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78.19144089126002</v>
      </c>
    </row>
    <row r="29" spans="1:2" x14ac:dyDescent="0.25">
      <c r="A29" s="19" t="s">
        <v>73</v>
      </c>
      <c r="B29" s="12">
        <f>B28/B26-1</f>
        <v>0.12473303928739954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0.057839</v>
      </c>
      <c r="B5" s="31">
        <v>104.05782240733295</v>
      </c>
      <c r="C5" s="31">
        <v>115.55908876865594</v>
      </c>
      <c r="D5" s="31">
        <v>130.54749296889514</v>
      </c>
      <c r="E5" s="31">
        <v>150.9019483161344</v>
      </c>
      <c r="F5" s="31">
        <v>180.14672326367725</v>
      </c>
    </row>
    <row r="6" spans="1:6" x14ac:dyDescent="0.25">
      <c r="A6" s="30">
        <v>0.067839</v>
      </c>
      <c r="B6" s="31">
        <v>82.75658777918888</v>
      </c>
      <c r="C6" s="31">
        <v>89.70808075312077</v>
      </c>
      <c r="D6" s="31">
        <v>98.27112052391936</v>
      </c>
      <c r="E6" s="31">
        <v>109.0845506644328</v>
      </c>
      <c r="F6" s="31">
        <v>123.17629089041738</v>
      </c>
    </row>
    <row r="7" spans="1:6" x14ac:dyDescent="0.25">
      <c r="A7" s="30">
        <v>0.077839</v>
      </c>
      <c r="B7" s="31">
        <v>68.22352285678805</v>
      </c>
      <c r="C7" s="31">
        <v>72.78075023749487</v>
      </c>
      <c r="D7" s="32">
        <v>78.19177930448707</v>
      </c>
      <c r="E7" s="31">
        <v>84.72432103195483</v>
      </c>
      <c r="F7" s="31">
        <v>92.7710710922325</v>
      </c>
    </row>
    <row r="8" spans="1:6" x14ac:dyDescent="0.25">
      <c r="A8" s="30">
        <v>0.087839</v>
      </c>
      <c r="B8" s="31">
        <v>57.67148923391752</v>
      </c>
      <c r="C8" s="31">
        <v>60.831449203292195</v>
      </c>
      <c r="D8" s="31">
        <v>64.48727967645152</v>
      </c>
      <c r="E8" s="31">
        <v>68.76757999910983</v>
      </c>
      <c r="F8" s="31">
        <v>73.84962543655382</v>
      </c>
    </row>
    <row r="9" spans="1:6" x14ac:dyDescent="0.25">
      <c r="A9" s="30">
        <v>0.097839</v>
      </c>
      <c r="B9" s="31">
        <v>49.65913458214192</v>
      </c>
      <c r="C9" s="31">
        <v>51.942091647725675</v>
      </c>
      <c r="D9" s="31">
        <v>54.53268214112942</v>
      </c>
      <c r="E9" s="31">
        <v>57.49892742789945</v>
      </c>
      <c r="F9" s="31">
        <v>60.930498284154105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20139000000</v>
      </c>
      <c r="C5" s="18">
        <v>20444000000</v>
      </c>
      <c r="D5" s="18">
        <v>20502000000</v>
      </c>
      <c r="E5" s="18">
        <v>20688000000</v>
      </c>
      <c r="F5" s="8" t="s">
        <v>84</v>
      </c>
    </row>
    <row r="6" spans="1:6" x14ac:dyDescent="0.25">
      <c r="A6" t="s">
        <v>44</v>
      </c>
      <c r="B6" s="18">
        <v>12035000000</v>
      </c>
      <c r="C6" s="18">
        <v>11630000000</v>
      </c>
      <c r="D6" s="18">
        <v>11547000000</v>
      </c>
      <c r="E6" s="18">
        <v>11919000000</v>
      </c>
      <c r="F6" s="8" t="s">
        <v>85</v>
      </c>
    </row>
    <row r="7" spans="1:6" x14ac:dyDescent="0.25">
      <c r="A7" t="s">
        <v>86</v>
      </c>
      <c r="B7" s="18">
        <v>266000000</v>
      </c>
      <c r="C7" s="18">
        <v>286000000</v>
      </c>
      <c r="D7" s="18">
        <v>272000000</v>
      </c>
      <c r="E7" s="18">
        <v>226000000</v>
      </c>
      <c r="F7" s="8" t="s">
        <v>87</v>
      </c>
    </row>
    <row r="8" spans="1:6" x14ac:dyDescent="0.25">
      <c r="A8" t="s">
        <v>88</v>
      </c>
      <c r="B8" s="18">
        <v>216000000</v>
      </c>
      <c r="C8" s="18">
        <v>142000000</v>
      </c>
      <c r="D8" s="18">
        <v>196000000</v>
      </c>
      <c r="E8" s="18">
        <v>205000000</v>
      </c>
      <c r="F8" s="8" t="s">
        <v>89</v>
      </c>
    </row>
    <row r="9" spans="1:6" x14ac:dyDescent="0.25">
      <c r="A9" t="s">
        <v>90</v>
      </c>
      <c r="B9" s="18">
        <v>-76000000</v>
      </c>
      <c r="C9" s="18">
        <v>-151000000</v>
      </c>
      <c r="D9" s="18">
        <v>47000000</v>
      </c>
      <c r="E9" s="18">
        <v>586000000</v>
      </c>
      <c r="F9" s="8" t="s">
        <v>91</v>
      </c>
    </row>
    <row r="10" spans="1:6" x14ac:dyDescent="0.25">
      <c r="A10" t="s">
        <v>92</v>
      </c>
      <c r="B10" s="18">
        <v>25709000000</v>
      </c>
      <c r="C10" s="18">
        <v>24926000000</v>
      </c>
      <c r="D10" s="18">
        <v>26233000000</v>
      </c>
      <c r="E10" s="18">
        <v>26680000000</v>
      </c>
      <c r="F10" s="8" t="s">
        <v>93</v>
      </c>
    </row>
    <row r="11" spans="1:6" x14ac:dyDescent="0.25">
      <c r="A11" t="s">
        <v>94</v>
      </c>
      <c r="B11" s="18">
        <v>4474000000</v>
      </c>
      <c r="C11" s="18">
        <v>3127000000</v>
      </c>
      <c r="D11" s="18">
        <v>3686000000</v>
      </c>
      <c r="E11" s="18">
        <v>4030000000</v>
      </c>
      <c r="F11" s="8" t="s">
        <v>95</v>
      </c>
    </row>
    <row r="12" spans="1:6" x14ac:dyDescent="0.25">
      <c r="A12" t="s">
        <v>32</v>
      </c>
      <c r="B12" s="34">
        <v>1683000000</v>
      </c>
      <c r="C12" s="34">
        <v>1722324159</v>
      </c>
      <c r="D12" s="34">
        <v>1777000000</v>
      </c>
      <c r="E12" s="34">
        <v>1804000000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