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<sst xmlns="http://schemas.openxmlformats.org/spreadsheetml/2006/main" count="112" uniqueCount="100">
  <si>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Moncler S.p.A. (MONC.MI)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</si>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</sst>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0.06363975754395934</v>
      </c>
    </row>
    <row r="7" spans="1:2" x14ac:dyDescent="0.25">
      <c r="A7" t="s">
        <v>5</v>
      </c>
      <c r="B7" s="6">
        <v>0.2952575817893582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0.10142927783799074</v>
      </c>
    </row>
    <row r="10" spans="1:2" x14ac:dyDescent="0.25">
      <c r="A10" t="s">
        <v>8</v>
      </c>
      <c r="B10" s="6">
        <v>0.06435895098461143</v>
      </c>
    </row>
    <row r="11" spans="1:2" x14ac:dyDescent="0.25">
      <c r="A11" t="s">
        <v>9</v>
      </c>
      <c r="B11" s="6">
        <v>0.27336075761585155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9.144296444913763</v>
      </c>
    </row>
    <row r="14" spans="1:3" x14ac:dyDescent="0.25">
      <c r="A14" t="s">
        <v>12</v>
      </c>
      <c r="B14" s="6">
        <v>0.19170536048853948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1.04556</v>
      </c>
      <c r="C19" s="8" t="s">
        <v>19</v>
      </c>
    </row>
    <row r="20" spans="1:2" x14ac:dyDescent="0.25">
      <c r="A20" t="s">
        <v>20</v>
      </c>
      <c r="B20" s="10">
        <f>B17+B19*B18</f>
        <v>0.10996140000000001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11763555328</v>
      </c>
    </row>
    <row r="23" spans="1:2" x14ac:dyDescent="0.25">
      <c r="A23" t="s">
        <v>24</v>
      </c>
      <c r="B23" s="11">
        <v>1128458000</v>
      </c>
    </row>
    <row r="24" spans="1:2" x14ac:dyDescent="0.25">
      <c r="A24" t="s">
        <v>25</v>
      </c>
      <c r="B24" s="10">
        <f>B22/(B22+B23)</f>
        <v>0.9124684429584697</v>
      </c>
    </row>
    <row r="25" spans="1:2" x14ac:dyDescent="0.25">
      <c r="A25" t="s">
        <v>26</v>
      </c>
      <c r="B25" s="10">
        <f>1-B24</f>
        <v>0.08753155704153026</v>
      </c>
    </row>
    <row r="26" spans="1:2" x14ac:dyDescent="0.25">
      <c r="A26" t="s">
        <v>27</v>
      </c>
      <c r="B26" s="12">
        <f>B24*B20+B25*B21*(1-B8)</f>
        <v>0.10309355149034169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3132128000</v>
      </c>
      <c r="C29" s="8" t="s">
        <v>30</v>
      </c>
    </row>
    <row r="30" spans="1:2" x14ac:dyDescent="0.25">
      <c r="A30" t="s">
        <v>31</v>
      </c>
      <c r="B30" s="11">
        <v>-332819000</v>
      </c>
    </row>
    <row r="31" spans="1:2" x14ac:dyDescent="0.25">
      <c r="A31" t="s">
        <v>32</v>
      </c>
      <c r="B31" s="13">
        <v>271598300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0.06363975754395934</v>
      </c>
      <c r="C5" s="10">
        <f>Assumptions!B6</f>
        <v>0.06363975754395934</v>
      </c>
      <c r="D5" s="10">
        <f>Assumptions!B6</f>
        <v>0.06363975754395934</v>
      </c>
      <c r="E5" s="10">
        <f>Assumptions!B6</f>
        <v>0.06363975754395934</v>
      </c>
      <c r="F5" s="10">
        <f>Assumptions!B6</f>
        <v>0.06363975754395934</v>
      </c>
    </row>
    <row r="6" spans="1:6" x14ac:dyDescent="0.25">
      <c r="A6" t="s">
        <v>43</v>
      </c>
      <c r="B6" s="18">
        <f>Assumptions!B29*(1+B5)</f>
        <v>3331455866.5166464</v>
      </c>
      <c r="C6" s="18">
        <f>B6*(1+C5)</f>
        <v>3543468910.1301665</v>
      </c>
      <c r="D6" s="18">
        <f>C6*(1+D5)</f>
        <v>3768974412.435408</v>
      </c>
      <c r="E6" s="18">
        <f>D6*(1+E5)</f>
        <v>4008831030.232184</v>
      </c>
      <c r="F6" s="18">
        <f>E6*(1+F5)</f>
        <v>4263952065.030861</v>
      </c>
    </row>
    <row r="7" spans="1:6" x14ac:dyDescent="0.25">
      <c r="A7" t="s">
        <v>5</v>
      </c>
      <c r="B7" s="10">
        <f>Assumptions!B7</f>
        <v>0.2952575817893582</v>
      </c>
      <c r="C7" s="10">
        <f>Assumptions!B7</f>
        <v>0.2952575817893582</v>
      </c>
      <c r="D7" s="10">
        <f>Assumptions!B7</f>
        <v>0.2952575817893582</v>
      </c>
      <c r="E7" s="10">
        <f>Assumptions!B7</f>
        <v>0.2952575817893582</v>
      </c>
      <c r="F7" s="10">
        <f>Assumptions!B7</f>
        <v>0.2952575817893582</v>
      </c>
    </row>
    <row r="8" spans="1:6" x14ac:dyDescent="0.25">
      <c r="A8" t="s">
        <v>44</v>
      </c>
      <c r="B8" s="18">
        <f>B6*B7</f>
        <v>983637602.9856758</v>
      </c>
      <c r="C8" s="18">
        <f>C6*C7</f>
        <v>1046236061.5508056</v>
      </c>
      <c r="D8" s="18">
        <f>D6*D7</f>
        <v>1112818270.8416457</v>
      </c>
      <c r="E8" s="18">
        <f>E6*E7</f>
        <v>1183637755.788496</v>
      </c>
      <c r="F8" s="18">
        <f>F6*F7</f>
        <v>1258964175.5867522</v>
      </c>
    </row>
    <row r="9" spans="1:6" x14ac:dyDescent="0.25">
      <c r="A9" t="s">
        <v>45</v>
      </c>
      <c r="B9" s="18">
        <f>B8*(1-Assumptions!B8)</f>
        <v>737728202.2392569</v>
      </c>
      <c r="C9" s="18">
        <f>C8*(1-Assumptions!B8)</f>
        <v>784677046.1631042</v>
      </c>
      <c r="D9" s="18">
        <f>D8*(1-Assumptions!B8)</f>
        <v>834613703.1312343</v>
      </c>
      <c r="E9" s="18">
        <f>E8*(1-Assumptions!B8)</f>
        <v>887728316.841372</v>
      </c>
      <c r="F9" s="18">
        <f>F8*(1-Assumptions!B8)</f>
        <v>944223131.6900642</v>
      </c>
    </row>
    <row r="10" spans="1:6" x14ac:dyDescent="0.25">
      <c r="A10" t="s">
        <v>46</v>
      </c>
      <c r="B10" s="18">
        <f>B6*Assumptions!B9</f>
        <v>337907162.68992114</v>
      </c>
      <c r="C10" s="18">
        <f>C6*Assumptions!B9</f>
        <v>359411492.5958749</v>
      </c>
      <c r="D10" s="18">
        <f>D6*Assumptions!B9</f>
        <v>382284352.84318894</v>
      </c>
      <c r="E10" s="18">
        <f>E6*Assumptions!B9</f>
        <v>406612836.37097883</v>
      </c>
      <c r="F10" s="18">
        <f>F6*Assumptions!B9</f>
        <v>432489578.6918896</v>
      </c>
    </row>
    <row r="11" spans="1:6" x14ac:dyDescent="0.25">
      <c r="A11" t="s">
        <v>47</v>
      </c>
      <c r="B11" s="18">
        <f>-B6*Assumptions!B10</f>
        <v>-214409004.82054105</v>
      </c>
      <c r="C11" s="18">
        <f>-C6*Assumptions!B10</f>
        <v>-228053941.90256187</v>
      </c>
      <c r="D11" s="18">
        <f>-D6*Assumptions!B10</f>
        <v>-242567239.4721851</v>
      </c>
      <c r="E11" s="18">
        <f>-E6*Assumptions!B10</f>
        <v>-258004159.78030246</v>
      </c>
      <c r="F11" s="18">
        <f>-F6*Assumptions!B10</f>
        <v>-274423481.9540539</v>
      </c>
    </row>
    <row r="12" spans="1:6" x14ac:dyDescent="0.25">
      <c r="A12" t="s">
        <v>48</v>
      </c>
      <c r="B12" s="18">
        <f>-(B6-Assumptions!B29)*Assumptions!B11</f>
        <v>-54488416.604941785</v>
      </c>
      <c r="C12" s="18">
        <f>-(C6-B6)*Assumptions!B11</f>
        <v>-57956046.22663444</v>
      </c>
      <c r="D12" s="18">
        <f>-(D6-C6)*Assumptions!B11</f>
        <v>-61644354.956704</v>
      </c>
      <c r="E12" s="18">
        <f>-(E6-D6)*Assumptions!B11</f>
        <v>-65567386.76010238</v>
      </c>
      <c r="F12" s="18">
        <f>-(F6-E6)*Assumptions!B11</f>
        <v>-69740079.35630636</v>
      </c>
    </row>
    <row r="13" spans="1:6" x14ac:dyDescent="0.25">
      <c r="A13" s="19" t="s">
        <v>49</v>
      </c>
      <c r="B13" s="20">
        <f>B9+B10+B11+B12</f>
        <v>806737943.5036952</v>
      </c>
      <c r="C13" s="20">
        <f>C9+C10+C11+C12</f>
        <v>858078550.6297827</v>
      </c>
      <c r="D13" s="20">
        <f>D9+D10+D11+D12</f>
        <v>912686461.545534</v>
      </c>
      <c r="E13" s="20">
        <f>E9+E10+E11+E12</f>
        <v>970769606.6719459</v>
      </c>
      <c r="F13" s="20">
        <f>F9+F10+F11+F12</f>
        <v>1032549149.0715935</v>
      </c>
    </row>
    <row r="14" spans="1:6" x14ac:dyDescent="0.25">
      <c r="A14" t="s">
        <v>50</v>
      </c>
      <c r="B14" s="21">
        <f>1/(1+Assumptions!$B$26)^(1-0.5*Assumptions!$B$32)</f>
        <v>0.9521246898021138</v>
      </c>
      <c r="C14" s="21">
        <f>1/(1+Assumptions!$B$26)^(2-0.5*Assumptions!$B$32)</f>
        <v>0.8631404730049773</v>
      </c>
      <c r="D14" s="21">
        <f>1/(1+Assumptions!$B$26)^(3-0.5*Assumptions!$B$32)</f>
        <v>0.7824725943133526</v>
      </c>
      <c r="E14" s="21">
        <f>1/(1+Assumptions!$B$26)^(4-0.5*Assumptions!$B$32)</f>
        <v>0.7093438206181043</v>
      </c>
      <c r="F14" s="21">
        <f>1/(1+Assumptions!$B$26)^(5-0.5*Assumptions!$B$32)</f>
        <v>0.643049557908974</v>
      </c>
    </row>
    <row r="15" spans="1:6" x14ac:dyDescent="0.25">
      <c r="A15" s="19" t="s">
        <v>51</v>
      </c>
      <c r="B15" s="20">
        <f>B13*B14</f>
        <v>768115114.2100511</v>
      </c>
      <c r="C15" s="20">
        <f>C13*C14</f>
        <v>740642326.066016</v>
      </c>
      <c r="D15" s="20">
        <f>D13*D14</f>
        <v>714152143.3602079</v>
      </c>
      <c r="E15" s="20">
        <f>E13*E14</f>
        <v>688609421.7366124</v>
      </c>
      <c r="F15" s="20">
        <f>F13*F14</f>
        <v>663980273.8297755</v>
      </c>
    </row>
    <row r="17" spans="1:2" x14ac:dyDescent="0.25">
      <c r="A17" s="22" t="s">
        <v>52</v>
      </c>
      <c r="B17" s="23">
        <f>SUM(B15:F15)</f>
        <v>3575499279.2026625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1032549149.0715935</v>
      </c>
    </row>
    <row r="5" spans="1:2" x14ac:dyDescent="0.25">
      <c r="A5" t="s">
        <v>56</v>
      </c>
      <c r="B5" s="18">
        <f>IF(Assumptions!$B$33=0,B4,B4-Forecast!F11-Forecast!F10-Forecast!F12)</f>
        <v>975058570.1969783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0.13040845564406922</v>
      </c>
    </row>
    <row r="7" spans="1:2" x14ac:dyDescent="0.25">
      <c r="A7" t="s">
        <v>58</v>
      </c>
      <c r="B7" s="18">
        <f>-MAX(Forecast!F9,0)*B6</f>
        <v>-127155882.3019022</v>
      </c>
    </row>
    <row r="8" spans="1:2" x14ac:dyDescent="0.25">
      <c r="A8" t="s">
        <v>59</v>
      </c>
      <c r="B8" s="18">
        <f>IF(OR(Assumptions!$B$33=0,Assumptions!B12&lt;=0),B5,MAX(B5+B7,0))</f>
        <v>847902687.8950762</v>
      </c>
    </row>
    <row r="9" spans="1:2" x14ac:dyDescent="0.25">
      <c r="A9" t="s">
        <v>60</v>
      </c>
      <c r="B9" s="18">
        <f>B8*(1+Assumptions!B12)/(Assumptions!B26-Assumptions!B12)</f>
        <v>11128963128.28006</v>
      </c>
    </row>
    <row r="10" spans="1:2" x14ac:dyDescent="0.25">
      <c r="A10" t="s">
        <v>61</v>
      </c>
      <c r="B10" s="18">
        <f>B9/(1+Assumptions!B26)^(5-0.5*Assumptions!B32)</f>
        <v>7156474819.625765</v>
      </c>
    </row>
    <row r="11" spans="1:2" x14ac:dyDescent="0.25">
      <c r="A11" t="s">
        <v>62</v>
      </c>
      <c r="B11" s="18">
        <f>Forecast!B17+B10</f>
        <v>10731974098.828426</v>
      </c>
    </row>
    <row r="12" spans="1:2" x14ac:dyDescent="0.25">
      <c r="A12" t="s">
        <v>63</v>
      </c>
      <c r="B12" s="18">
        <f>-Assumptions!B30</f>
        <v>332819000</v>
      </c>
    </row>
    <row r="13" spans="1:2" x14ac:dyDescent="0.25">
      <c r="A13" t="s">
        <v>64</v>
      </c>
      <c r="B13" s="18">
        <f>B11+B12</f>
        <v>11064793098.828426</v>
      </c>
    </row>
    <row r="14" spans="1:2" x14ac:dyDescent="0.25">
      <c r="A14" s="19" t="s">
        <v>65</v>
      </c>
      <c r="B14" s="24">
        <f>B13/Assumptions!B31</f>
        <v>40.739552121012636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1691453754.2786417</v>
      </c>
    </row>
    <row r="18" spans="1:2" x14ac:dyDescent="0.25">
      <c r="A18" t="s">
        <v>60</v>
      </c>
      <c r="B18" s="18">
        <f>B17*Assumptions!B13</f>
        <v>15467154551.986221</v>
      </c>
    </row>
    <row r="19" spans="1:2" x14ac:dyDescent="0.25">
      <c r="A19" t="s">
        <v>61</v>
      </c>
      <c r="B19" s="18">
        <f>B18/(1+Assumptions!B26)^(5-0.5*Assumptions!B32)</f>
        <v>9946146896.764515</v>
      </c>
    </row>
    <row r="20" spans="1:2" x14ac:dyDescent="0.25">
      <c r="A20" t="s">
        <v>62</v>
      </c>
      <c r="B20" s="18">
        <f>Forecast!B17+B19</f>
        <v>13521646175.967178</v>
      </c>
    </row>
    <row r="21" spans="1:2" x14ac:dyDescent="0.25">
      <c r="A21" t="s">
        <v>63</v>
      </c>
      <c r="B21" s="18">
        <f>-Assumptions!B30</f>
        <v>332819000</v>
      </c>
    </row>
    <row r="22" spans="1:2" x14ac:dyDescent="0.25">
      <c r="A22" t="s">
        <v>64</v>
      </c>
      <c r="B22" s="18">
        <f>B20+B21</f>
        <v>13854465175.967178</v>
      </c>
    </row>
    <row r="23" spans="1:2" x14ac:dyDescent="0.25">
      <c r="A23" s="19" t="s">
        <v>65</v>
      </c>
      <c r="B23" s="25">
        <f>B22/Assumptions!B31</f>
        <v>51.010868536243336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43.25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40.739552121012636</v>
      </c>
    </row>
    <row r="29" spans="1:2" x14ac:dyDescent="0.25">
      <c r="A29" s="19" t="s">
        <v>73</v>
      </c>
      <c r="B29" s="12">
        <f>B28/B26-1</f>
        <v>-0.058045037664447685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0.083094</v>
      </c>
      <c r="B5" s="31">
        <v>49.43371889337351</v>
      </c>
      <c r="C5" s="31">
        <v>51.2892352325102</v>
      </c>
      <c r="D5" s="31">
        <v>53.45289644356657</v>
      </c>
      <c r="E5" s="31">
        <v>56.01175893741387</v>
      </c>
      <c r="F5" s="31">
        <v>59.08908173267942</v>
      </c>
    </row>
    <row r="6" spans="1:6" x14ac:dyDescent="0.25">
      <c r="A6" s="30">
        <v>0.093094</v>
      </c>
      <c r="B6" s="31">
        <v>43.49974192311891</v>
      </c>
      <c r="C6" s="31">
        <v>44.74705616953748</v>
      </c>
      <c r="D6" s="31">
        <v>46.16833339038331</v>
      </c>
      <c r="E6" s="31">
        <v>47.804931632640425</v>
      </c>
      <c r="F6" s="31">
        <v>49.71244726290725</v>
      </c>
    </row>
    <row r="7" spans="1:6" x14ac:dyDescent="0.25">
      <c r="A7" s="30">
        <v>0.103094</v>
      </c>
      <c r="B7" s="31">
        <v>38.907911773108</v>
      </c>
      <c r="C7" s="31">
        <v>39.77214772151437</v>
      </c>
      <c r="D7" s="32">
        <v>40.739339588216225</v>
      </c>
      <c r="E7" s="31">
        <v>41.83061549281888</v>
      </c>
      <c r="F7" s="31">
        <v>43.07330912945857</v>
      </c>
    </row>
    <row r="8" spans="1:6" x14ac:dyDescent="0.25">
      <c r="A8" s="30">
        <v>0.113094</v>
      </c>
      <c r="B8" s="31">
        <v>35.24803825346288</v>
      </c>
      <c r="C8" s="31">
        <v>35.859840437737915</v>
      </c>
      <c r="D8" s="31">
        <v>36.53452845312588</v>
      </c>
      <c r="E8" s="31">
        <v>37.28345435232246</v>
      </c>
      <c r="F8" s="31">
        <v>38.12087746712172</v>
      </c>
    </row>
    <row r="9" spans="1:6" x14ac:dyDescent="0.25">
      <c r="A9" s="30">
        <v>0.123094</v>
      </c>
      <c r="B9" s="31">
        <v>32.2617035263784</v>
      </c>
      <c r="C9" s="31">
        <v>32.701249913645974</v>
      </c>
      <c r="D9" s="31">
        <v>33.17994358500811</v>
      </c>
      <c r="E9" s="31">
        <v>33.70409224301729</v>
      </c>
      <c r="F9" s="31">
        <v>34.28143562930976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3132128000</v>
      </c>
      <c r="C5" s="18">
        <v>3108924000</v>
      </c>
      <c r="D5" s="18">
        <v>2984217000</v>
      </c>
      <c r="E5" s="18">
        <v>2602890000</v>
      </c>
      <c r="F5" s="8" t="s">
        <v>84</v>
      </c>
    </row>
    <row r="6" spans="1:6" x14ac:dyDescent="0.25">
      <c r="A6" t="s">
        <v>44</v>
      </c>
      <c r="B6" s="18">
        <v>913356000</v>
      </c>
      <c r="C6" s="18">
        <v>908824000</v>
      </c>
      <c r="D6" s="18">
        <v>893839000</v>
      </c>
      <c r="E6" s="18">
        <v>774547000</v>
      </c>
      <c r="F6" s="8" t="s">
        <v>85</v>
      </c>
    </row>
    <row r="7" spans="1:6" x14ac:dyDescent="0.25">
      <c r="A7" t="s">
        <v>86</v>
      </c>
      <c r="B7" s="18">
        <v>336684000</v>
      </c>
      <c r="C7" s="18">
        <v>306844000</v>
      </c>
      <c r="D7" s="18">
        <v>291700000</v>
      </c>
      <c r="E7" s="18">
        <v>264917000</v>
      </c>
      <c r="F7" s="8" t="s">
        <v>87</v>
      </c>
    </row>
    <row r="8" spans="1:6" x14ac:dyDescent="0.25">
      <c r="A8" t="s">
        <v>88</v>
      </c>
      <c r="B8" s="18">
        <v>220114000</v>
      </c>
      <c r="C8" s="18">
        <v>195195000</v>
      </c>
      <c r="D8" s="18">
        <v>176423000</v>
      </c>
      <c r="E8" s="18">
        <v>169853000</v>
      </c>
      <c r="F8" s="8" t="s">
        <v>89</v>
      </c>
    </row>
    <row r="9" spans="1:6" x14ac:dyDescent="0.25">
      <c r="A9" t="s">
        <v>90</v>
      </c>
      <c r="B9" s="18">
        <v>86590000</v>
      </c>
      <c r="C9" s="18">
        <v>34090000</v>
      </c>
      <c r="D9" s="18">
        <v>29949000</v>
      </c>
      <c r="E9" s="18">
        <v>66609000</v>
      </c>
      <c r="F9" s="8" t="s">
        <v>91</v>
      </c>
    </row>
    <row r="10" spans="1:6" x14ac:dyDescent="0.25">
      <c r="A10" t="s">
        <v>92</v>
      </c>
      <c r="B10" s="18">
        <v>1128458000</v>
      </c>
      <c r="C10" s="18">
        <v>957308000</v>
      </c>
      <c r="D10" s="18">
        <v>848591000</v>
      </c>
      <c r="E10" s="18">
        <v>912779000</v>
      </c>
      <c r="F10" s="8" t="s">
        <v>93</v>
      </c>
    </row>
    <row r="11" spans="1:6" x14ac:dyDescent="0.25">
      <c r="A11" t="s">
        <v>94</v>
      </c>
      <c r="B11" s="18">
        <v>1461277000</v>
      </c>
      <c r="C11" s="18">
        <v>1337378000</v>
      </c>
      <c r="D11" s="18">
        <v>1067399000</v>
      </c>
      <c r="E11" s="18">
        <v>882254000</v>
      </c>
      <c r="F11" s="8" t="s">
        <v>95</v>
      </c>
    </row>
    <row r="12" spans="1:6" x14ac:dyDescent="0.25">
      <c r="A12" t="s">
        <v>32</v>
      </c>
      <c r="B12" s="34">
        <v>271598300</v>
      </c>
      <c r="C12" s="34">
        <v>270606444</v>
      </c>
      <c r="D12" s="34">
        <v>270136798</v>
      </c>
      <c r="E12" s="34">
        <v>270846875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2026-09-19T00:07:06Z</dcterms:modified>
</cp:coreProperties>
</file>