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<sst xmlns="http://schemas.openxmlformats.org/spreadsheetml/2006/main" count="112" uniqueCount="100">
  <si>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The Mosaic Company (MOS)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</si>
  <si>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</si>
  <si>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</si>
  <si>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</si>
  <si>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</si>
  <si>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</si>
  <si>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</si>
  <si>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</si>
  <si>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</si>
  <si>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</si>
  <si>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</si>
  <si>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</si>
  <si>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</si>
  <si>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</si>
  <si>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</si>
  <si>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</si>
  <si>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</si>
  <si>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</si>
  <si>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</si>
  <si>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</si>
  <si>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</si>
  <si>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</si>
  <si>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</si>
  <si>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</si>
  <si>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</si>
  <si>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</si>
  <si>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</si>
  <si>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</si>
  <si>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</si>
  <si>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</si>
  <si>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</si>
  <si>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</si>
  <si>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</si>
  <si>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</si>
  <si>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</si>
  <si>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</si>
  <si>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</si>
  <si>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</si>
  <si>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</si>
  <si>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</si>
  <si>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</si>
  <si>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</si>
  <si>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</si>
  <si>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</si>
  <si>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</si>
  <si>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</si>
  <si>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</si>
  <si>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</si>
  <si>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</si>
  <si>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</si>
  <si>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</si>
  <si>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</si>
  <si>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</si>
  <si>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</si>
  <si>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</si>
  <si>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</si>
  <si>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</si>
  <si>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</si>
  <si>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</si>
  <si>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</si>
  <si>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</si>
  <si>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</si>
  <si>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</si>
  <si>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</si>
  <si>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</si>
  <si>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</si>
  <si>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</si>
  <si>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</si>
  <si>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</si>
  <si>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</si>
  <si>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</si>
  <si>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</si>
  <si>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</si>
  <si>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</si>
  <si>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</si>
  <si>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</si>
  <si>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</si>
  <si>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</si>
  <si>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</si>
  <si>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</si>
  <si>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</si>
  <si>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</si>
  <si>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</si>
  <si>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</si>
  <si>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</si>
  <si>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</si>
  <si>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</si>
  <si>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</si>
  <si>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</si>
  <si>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</si>
  <si>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</si>
  <si>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</si>
  <si>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</si>
  <si>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</si>
  <si>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</si>
  <si>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</si>
  <si>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</si>
  <si>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</si>
  <si>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9.8% of revenue against depreciation of 7.5%.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</si>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</sst>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-0.1426545439066701</v>
      </c>
    </row>
    <row r="7" spans="1:2" x14ac:dyDescent="0.25">
      <c r="A7" t="s">
        <v>5</v>
      </c>
      <c r="B7" s="6">
        <v>0.12229007394892168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0.07456922614866604</v>
      </c>
    </row>
    <row r="10" spans="1:2" x14ac:dyDescent="0.25">
      <c r="A10" t="s">
        <v>8</v>
      </c>
      <c r="B10" s="6">
        <v>0.09823653710205124</v>
      </c>
    </row>
    <row r="11" spans="1:2" x14ac:dyDescent="0.25">
      <c r="A11" t="s">
        <v>9</v>
      </c>
      <c r="B11" s="6">
        <v>0.07399016411559928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6.006288227003664</v>
      </c>
    </row>
    <row r="14" spans="1:3" x14ac:dyDescent="0.25">
      <c r="A14" t="s">
        <v>12</v>
      </c>
      <c r="B14" s="6">
        <v>0.07479613067055005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0.88677</v>
      </c>
      <c r="C19" s="8" t="s">
        <v>19</v>
      </c>
    </row>
    <row r="20" spans="1:2" x14ac:dyDescent="0.25">
      <c r="A20" t="s">
        <v>20</v>
      </c>
      <c r="B20" s="10">
        <f>B17+B19*B18</f>
        <v>0.09875235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7782085120</v>
      </c>
    </row>
    <row r="23" spans="1:2" x14ac:dyDescent="0.25">
      <c r="A23" t="s">
        <v>24</v>
      </c>
      <c r="B23" s="11">
        <v>5279500000</v>
      </c>
    </row>
    <row r="24" spans="1:2" x14ac:dyDescent="0.25">
      <c r="A24" t="s">
        <v>25</v>
      </c>
      <c r="B24" s="10">
        <f>B22/(B22+B23)</f>
        <v>0.5957994415305697</v>
      </c>
    </row>
    <row r="25" spans="1:2" x14ac:dyDescent="0.25">
      <c r="A25" t="s">
        <v>26</v>
      </c>
      <c r="B25" s="10">
        <f>1-B24</f>
        <v>0.40420055846943026</v>
      </c>
    </row>
    <row r="26" spans="1:2" x14ac:dyDescent="0.25">
      <c r="A26" t="s">
        <v>27</v>
      </c>
      <c r="B26" s="12">
        <f>B24*B20+B25*B21*(1-B8)</f>
        <v>0.07479613067055005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12052400000</v>
      </c>
      <c r="C29" s="8" t="s">
        <v>30</v>
      </c>
    </row>
    <row r="30" spans="1:2" x14ac:dyDescent="0.25">
      <c r="A30" t="s">
        <v>31</v>
      </c>
      <c r="B30" s="11">
        <v>5002900000</v>
      </c>
    </row>
    <row r="31" spans="1:2" x14ac:dyDescent="0.25">
      <c r="A31" t="s">
        <v>32</v>
      </c>
      <c r="B31" s="13">
        <v>318900000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-0.1426545439066701</v>
      </c>
      <c r="C5" s="10">
        <f>Assumptions!B6</f>
        <v>-0.1426545439066701</v>
      </c>
      <c r="D5" s="10">
        <f>Assumptions!B6</f>
        <v>-0.1426545439066701</v>
      </c>
      <c r="E5" s="10">
        <f>Assumptions!B6</f>
        <v>-0.1426545439066701</v>
      </c>
      <c r="F5" s="10">
        <f>Assumptions!B6</f>
        <v>-0.1426545439066701</v>
      </c>
    </row>
    <row r="6" spans="1:6" x14ac:dyDescent="0.25">
      <c r="A6" t="s">
        <v>43</v>
      </c>
      <c r="B6" s="18">
        <f>Assumptions!B29*(1+B5)</f>
        <v>10333070375.019249</v>
      </c>
      <c r="C6" s="18">
        <f>B6*(1+C5)</f>
        <v>8859010933.515354</v>
      </c>
      <c r="D6" s="18">
        <f>C6*(1+D5)</f>
        <v>7595232769.330518</v>
      </c>
      <c r="E6" s="18">
        <f>D6*(1+E5)</f>
        <v>6511738302.756678</v>
      </c>
      <c r="F6" s="18">
        <f>E6*(1+F5)</f>
        <v>5582809245.13733</v>
      </c>
    </row>
    <row r="7" spans="1:6" x14ac:dyDescent="0.25">
      <c r="A7" t="s">
        <v>5</v>
      </c>
      <c r="B7" s="10">
        <f>Assumptions!B7</f>
        <v>0.12229007394892168</v>
      </c>
      <c r="C7" s="10">
        <f>Assumptions!B7</f>
        <v>0.12229007394892168</v>
      </c>
      <c r="D7" s="10">
        <f>Assumptions!B7</f>
        <v>0.12229007394892168</v>
      </c>
      <c r="E7" s="10">
        <f>Assumptions!B7</f>
        <v>0.12229007394892168</v>
      </c>
      <c r="F7" s="10">
        <f>Assumptions!B7</f>
        <v>0.12229007394892168</v>
      </c>
    </row>
    <row r="8" spans="1:6" x14ac:dyDescent="0.25">
      <c r="A8" t="s">
        <v>44</v>
      </c>
      <c r="B8" s="18">
        <f>B6*B7</f>
        <v>1263631940.280516</v>
      </c>
      <c r="C8" s="18">
        <f>C6*C7</f>
        <v>1083369102.1738982</v>
      </c>
      <c r="D8" s="18">
        <f>D6*D7</f>
        <v>928821577.0207022</v>
      </c>
      <c r="E8" s="18">
        <f>E6*E7</f>
        <v>796320958.5801399</v>
      </c>
      <c r="F8" s="18">
        <f>F6*F7</f>
        <v>682722155.4305677</v>
      </c>
    </row>
    <row r="9" spans="1:6" x14ac:dyDescent="0.25">
      <c r="A9" t="s">
        <v>45</v>
      </c>
      <c r="B9" s="18">
        <f>B8*(1-Assumptions!B8)</f>
        <v>998269232.8216076</v>
      </c>
      <c r="C9" s="18">
        <f>C8*(1-Assumptions!B8)</f>
        <v>855861590.7173797</v>
      </c>
      <c r="D9" s="18">
        <f>D8*(1-Assumptions!B8)</f>
        <v>733769045.8463548</v>
      </c>
      <c r="E9" s="18">
        <f>E8*(1-Assumptions!B8)</f>
        <v>629093557.2783105</v>
      </c>
      <c r="F9" s="18">
        <f>F8*(1-Assumptions!B8)</f>
        <v>539350502.7901485</v>
      </c>
    </row>
    <row r="10" spans="1:6" x14ac:dyDescent="0.25">
      <c r="A10" t="s">
        <v>46</v>
      </c>
      <c r="B10" s="18">
        <f>B6*Assumptions!B9</f>
        <v>770529061.6048918</v>
      </c>
      <c r="C10" s="18">
        <f>C6*Assumptions!B9</f>
        <v>660609589.7548115</v>
      </c>
      <c r="D10" s="18">
        <f>D6*Assumptions!B9</f>
        <v>566370630.0279664</v>
      </c>
      <c r="E10" s="18">
        <f>E6*Assumptions!B9</f>
        <v>485575286.1191935</v>
      </c>
      <c r="F10" s="18">
        <f>F6*Assumptions!B9</f>
        <v>416305765.1455091</v>
      </c>
    </row>
    <row r="11" spans="1:6" x14ac:dyDescent="0.25">
      <c r="A11" t="s">
        <v>47</v>
      </c>
      <c r="B11" s="18">
        <f>-B6*Assumptions!B10</f>
        <v>-1015085051.273685</v>
      </c>
      <c r="C11" s="18">
        <f>-C6*Assumptions!B10</f>
        <v>-870278556.2577587</v>
      </c>
      <c r="D11" s="18">
        <f>-D6*Assumptions!B10</f>
        <v>-746129365.7430528</v>
      </c>
      <c r="E11" s="18">
        <f>-E6*Assumptions!B10</f>
        <v>-639690621.3776045</v>
      </c>
      <c r="F11" s="18">
        <f>-F6*Assumptions!B10</f>
        <v>-548435847.543608</v>
      </c>
    </row>
    <row r="12" spans="1:6" x14ac:dyDescent="0.25">
      <c r="A12" t="s">
        <v>48</v>
      </c>
      <c r="B12" s="18">
        <f>-(B6-Assumptions!B29)*Assumptions!B11</f>
        <v>127213481.12113753</v>
      </c>
      <c r="C12" s="18">
        <f>-(C6-B6)*Assumptions!B11</f>
        <v>109065899.99302179</v>
      </c>
      <c r="D12" s="18">
        <f>-(D6-C6)*Assumptions!B11</f>
        <v>93507153.77374682</v>
      </c>
      <c r="E12" s="18">
        <f>-(E6-D6)*Assumptions!B11</f>
        <v>80167933.40014213</v>
      </c>
      <c r="F12" s="18">
        <f>-(F6-E6)*Assumptions!B11</f>
        <v>68731613.4250045</v>
      </c>
    </row>
    <row r="13" spans="1:6" x14ac:dyDescent="0.25">
      <c r="A13" s="19" t="s">
        <v>49</v>
      </c>
      <c r="B13" s="20">
        <f>B9+B10+B11+B12</f>
        <v>880926724.2739519</v>
      </c>
      <c r="C13" s="20">
        <f>C9+C10+C11+C12</f>
        <v>755258524.2074544</v>
      </c>
      <c r="D13" s="20">
        <f>D9+D10+D11+D12</f>
        <v>647517463.9050152</v>
      </c>
      <c r="E13" s="20">
        <f>E9+E10+E11+E12</f>
        <v>555146155.4200418</v>
      </c>
      <c r="F13" s="20">
        <f>F9+F10+F11+F12</f>
        <v>475952033.81705415</v>
      </c>
    </row>
    <row r="14" spans="1:6" x14ac:dyDescent="0.25">
      <c r="A14" t="s">
        <v>50</v>
      </c>
      <c r="B14" s="21">
        <f>1/(1+Assumptions!$B$26)^(1-0.5*Assumptions!$B$32)</f>
        <v>0.9645771127191559</v>
      </c>
      <c r="C14" s="21">
        <f>1/(1+Assumptions!$B$26)^(2-0.5*Assumptions!$B$32)</f>
        <v>0.8974512330234852</v>
      </c>
      <c r="D14" s="21">
        <f>1/(1+Assumptions!$B$26)^(3-0.5*Assumptions!$B$32)</f>
        <v>0.8349967099933436</v>
      </c>
      <c r="E14" s="21">
        <f>1/(1+Assumptions!$B$26)^(4-0.5*Assumptions!$B$32)</f>
        <v>0.7768884592768315</v>
      </c>
      <c r="F14" s="21">
        <f>1/(1+Assumptions!$B$26)^(5-0.5*Assumptions!$B$32)</f>
        <v>0.7228240194651071</v>
      </c>
    </row>
    <row r="15" spans="1:6" x14ac:dyDescent="0.25">
      <c r="A15" s="19" t="s">
        <v>51</v>
      </c>
      <c r="B15" s="20">
        <f>B13*B14</f>
        <v>849721756.2173125</v>
      </c>
      <c r="C15" s="20">
        <f>C13*C14</f>
        <v>677807693.8014777</v>
      </c>
      <c r="D15" s="20">
        <f>D13*D14</f>
        <v>540674952.0239214</v>
      </c>
      <c r="E15" s="20">
        <f>E13*E14</f>
        <v>431286641.3577327</v>
      </c>
      <c r="F15" s="20">
        <f>F13*F14</f>
        <v>344029562.1562357</v>
      </c>
    </row>
    <row r="17" spans="1:2" x14ac:dyDescent="0.25">
      <c r="A17" s="22" t="s">
        <v>52</v>
      </c>
      <c r="B17" s="23">
        <f>SUM(B15:F15)</f>
        <v>2843520605.55668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475952033.81705415</v>
      </c>
    </row>
    <row r="5" spans="1:2" x14ac:dyDescent="0.25">
      <c r="A5" t="s">
        <v>56</v>
      </c>
      <c r="B5" s="18">
        <f>IF(Assumptions!$B$33=0,B4,B4-Forecast!F11-Forecast!F10-Forecast!F12)</f>
        <v>539350502.7901485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0.3342418889302707</v>
      </c>
    </row>
    <row r="7" spans="1:2" x14ac:dyDescent="0.25">
      <c r="A7" t="s">
        <v>58</v>
      </c>
      <c r="B7" s="18">
        <f>-MAX(Forecast!F9,0)*B6</f>
        <v>-180273530.84807047</v>
      </c>
    </row>
    <row r="8" spans="1:2" x14ac:dyDescent="0.25">
      <c r="A8" t="s">
        <v>59</v>
      </c>
      <c r="B8" s="18">
        <f>IF(OR(Assumptions!$B$33=0,Assumptions!B12&lt;=0),B5,MAX(B5+B7,0))</f>
        <v>359076971.942078</v>
      </c>
    </row>
    <row r="9" spans="1:2" x14ac:dyDescent="0.25">
      <c r="A9" t="s">
        <v>60</v>
      </c>
      <c r="B9" s="18">
        <f>B8*(1+Assumptions!B12)/(Assumptions!B26-Assumptions!B12)</f>
        <v>7391214764.770886</v>
      </c>
    </row>
    <row r="10" spans="1:2" x14ac:dyDescent="0.25">
      <c r="A10" t="s">
        <v>61</v>
      </c>
      <c r="B10" s="18">
        <f>B9/(1+Assumptions!B26)^(5-0.5*Assumptions!B32)</f>
        <v>5342547565.001538</v>
      </c>
    </row>
    <row r="11" spans="1:2" x14ac:dyDescent="0.25">
      <c r="A11" t="s">
        <v>62</v>
      </c>
      <c r="B11" s="18">
        <f>Forecast!B17+B10</f>
        <v>8186068170.558218</v>
      </c>
    </row>
    <row r="12" spans="1:2" x14ac:dyDescent="0.25">
      <c r="A12" t="s">
        <v>63</v>
      </c>
      <c r="B12" s="18">
        <f>-Assumptions!B30</f>
        <v>-5002900000</v>
      </c>
    </row>
    <row r="13" spans="1:2" x14ac:dyDescent="0.25">
      <c r="A13" t="s">
        <v>64</v>
      </c>
      <c r="B13" s="18">
        <f>B11+B12</f>
        <v>3183168170.558218</v>
      </c>
    </row>
    <row r="14" spans="1:2" x14ac:dyDescent="0.25">
      <c r="A14" s="19" t="s">
        <v>65</v>
      </c>
      <c r="B14" s="24">
        <f>B13/Assumptions!B31</f>
        <v>9.981712670298583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1099027920.576077</v>
      </c>
    </row>
    <row r="18" spans="1:2" x14ac:dyDescent="0.25">
      <c r="A18" t="s">
        <v>60</v>
      </c>
      <c r="B18" s="18">
        <f>B17*Assumptions!B13</f>
        <v>6601078460.50441</v>
      </c>
    </row>
    <row r="19" spans="1:2" x14ac:dyDescent="0.25">
      <c r="A19" t="s">
        <v>61</v>
      </c>
      <c r="B19" s="18">
        <f>B18/(1+Assumptions!B26)^(5-0.5*Assumptions!B32)</f>
        <v>4771418065.626339</v>
      </c>
    </row>
    <row r="20" spans="1:2" x14ac:dyDescent="0.25">
      <c r="A20" t="s">
        <v>62</v>
      </c>
      <c r="B20" s="18">
        <f>Forecast!B17+B19</f>
        <v>7614938671.18302</v>
      </c>
    </row>
    <row r="21" spans="1:2" x14ac:dyDescent="0.25">
      <c r="A21" t="s">
        <v>63</v>
      </c>
      <c r="B21" s="18">
        <f>-Assumptions!B30</f>
        <v>-5002900000</v>
      </c>
    </row>
    <row r="22" spans="1:2" x14ac:dyDescent="0.25">
      <c r="A22" t="s">
        <v>64</v>
      </c>
      <c r="B22" s="18">
        <f>B20+B21</f>
        <v>2612038671.1830196</v>
      </c>
    </row>
    <row r="23" spans="1:2" x14ac:dyDescent="0.25">
      <c r="A23" s="19" t="s">
        <v>65</v>
      </c>
      <c r="B23" s="25">
        <f>B22/Assumptions!B31</f>
        <v>8.190776642154342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24.48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9.981712670298583</v>
      </c>
    </row>
    <row r="29" spans="1:2" x14ac:dyDescent="0.25">
      <c r="A29" s="19" t="s">
        <v>73</v>
      </c>
      <c r="B29" s="12">
        <f>B28/B26-1</f>
        <v>-0.5922502994159076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0.054796</v>
      </c>
      <c r="B5" s="31">
        <v>18.489036716758743</v>
      </c>
      <c r="C5" s="31">
        <v>18.75096098711222</v>
      </c>
      <c r="D5" s="31">
        <v>19.061208789287637</v>
      </c>
      <c r="E5" s="31">
        <v>19.44901278086405</v>
      </c>
      <c r="F5" s="31">
        <v>19.973139522814087</v>
      </c>
    </row>
    <row r="6" spans="1:6" x14ac:dyDescent="0.25">
      <c r="A6" s="30">
        <v>0.064796</v>
      </c>
      <c r="B6" s="31">
        <v>13.375217077005917</v>
      </c>
      <c r="C6" s="31">
        <v>13.473604486694114</v>
      </c>
      <c r="D6" s="31">
        <v>13.571991896382306</v>
      </c>
      <c r="E6" s="31">
        <v>13.670379306070501</v>
      </c>
      <c r="F6" s="31">
        <v>13.768766715758698</v>
      </c>
    </row>
    <row r="7" spans="1:6" x14ac:dyDescent="0.25">
      <c r="A7" s="30">
        <v>0.074796</v>
      </c>
      <c r="B7" s="31">
        <v>9.818308571699836</v>
      </c>
      <c r="C7" s="31">
        <v>9.900030953078923</v>
      </c>
      <c r="D7" s="32">
        <v>9.981753334458006</v>
      </c>
      <c r="E7" s="31">
        <v>10.063475715837093</v>
      </c>
      <c r="F7" s="31">
        <v>10.14519809721618</v>
      </c>
    </row>
    <row r="8" spans="1:6" x14ac:dyDescent="0.25">
      <c r="A8" s="30">
        <v>0.084796</v>
      </c>
      <c r="B8" s="31">
        <v>7.096982161415787</v>
      </c>
      <c r="C8" s="31">
        <v>7.166124628036319</v>
      </c>
      <c r="D8" s="31">
        <v>7.2352670946568445</v>
      </c>
      <c r="E8" s="31">
        <v>7.304409561277376</v>
      </c>
      <c r="F8" s="31">
        <v>7.373552027897902</v>
      </c>
    </row>
    <row r="9" spans="1:6" x14ac:dyDescent="0.25">
      <c r="A9" s="30">
        <v>0.094796</v>
      </c>
      <c r="B9" s="31">
        <v>4.946852776721486</v>
      </c>
      <c r="C9" s="31">
        <v>5.0061995555675916</v>
      </c>
      <c r="D9" s="31">
        <v>5.0655463344137</v>
      </c>
      <c r="E9" s="31">
        <v>5.124893113259805</v>
      </c>
      <c r="F9" s="31">
        <v>5.184239892105911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12052400000</v>
      </c>
      <c r="C5" s="18">
        <v>11122800000</v>
      </c>
      <c r="D5" s="18">
        <v>13696100000</v>
      </c>
      <c r="E5" s="18">
        <v>19125200000</v>
      </c>
      <c r="F5" s="8" t="s">
        <v>84</v>
      </c>
    </row>
    <row r="6" spans="1:6" x14ac:dyDescent="0.25">
      <c r="A6" t="s">
        <v>44</v>
      </c>
      <c r="B6" s="18">
        <v>1078700000</v>
      </c>
      <c r="C6" s="18">
        <v>621500000</v>
      </c>
      <c r="D6" s="18">
        <v>1281600000</v>
      </c>
      <c r="E6" s="18">
        <v>4785300000</v>
      </c>
      <c r="F6" s="8" t="s">
        <v>85</v>
      </c>
    </row>
    <row r="7" spans="1:6" x14ac:dyDescent="0.25">
      <c r="A7" t="s">
        <v>86</v>
      </c>
      <c r="B7" s="18">
        <v>1049900000</v>
      </c>
      <c r="C7" s="18">
        <v>1025500000</v>
      </c>
      <c r="D7" s="18">
        <v>960600000</v>
      </c>
      <c r="E7" s="18">
        <v>933900000</v>
      </c>
      <c r="F7" s="8" t="s">
        <v>87</v>
      </c>
    </row>
    <row r="8" spans="1:6" x14ac:dyDescent="0.25">
      <c r="A8" t="s">
        <v>88</v>
      </c>
      <c r="B8" s="18">
        <v>1359400000</v>
      </c>
      <c r="C8" s="18">
        <v>1251800000</v>
      </c>
      <c r="D8" s="18">
        <v>1402400000</v>
      </c>
      <c r="E8" s="18">
        <v>1247300000</v>
      </c>
      <c r="F8" s="8" t="s">
        <v>89</v>
      </c>
    </row>
    <row r="9" spans="1:6" x14ac:dyDescent="0.25">
      <c r="A9" t="s">
        <v>90</v>
      </c>
      <c r="B9" s="18">
        <v>961300000</v>
      </c>
      <c r="C9" s="18">
        <v>-21100000</v>
      </c>
      <c r="D9" s="18">
        <v>-401700000</v>
      </c>
      <c r="E9" s="18">
        <v>992500000</v>
      </c>
      <c r="F9" s="8" t="s">
        <v>91</v>
      </c>
    </row>
    <row r="10" spans="1:6" x14ac:dyDescent="0.25">
      <c r="A10" t="s">
        <v>92</v>
      </c>
      <c r="B10" s="18">
        <v>5279500000</v>
      </c>
      <c r="C10" s="18">
        <v>4449800000</v>
      </c>
      <c r="D10" s="18">
        <v>3994800000</v>
      </c>
      <c r="E10" s="18">
        <v>3808000000</v>
      </c>
      <c r="F10" s="8" t="s">
        <v>93</v>
      </c>
    </row>
    <row r="11" spans="1:6" x14ac:dyDescent="0.25">
      <c r="A11" t="s">
        <v>94</v>
      </c>
      <c r="B11" s="18">
        <v>276600000</v>
      </c>
      <c r="C11" s="18">
        <v>272800000</v>
      </c>
      <c r="D11" s="18">
        <v>348800000</v>
      </c>
      <c r="E11" s="18">
        <v>735400000</v>
      </c>
      <c r="F11" s="8" t="s">
        <v>95</v>
      </c>
    </row>
    <row r="12" spans="1:6" x14ac:dyDescent="0.25">
      <c r="A12" t="s">
        <v>32</v>
      </c>
      <c r="B12" s="34">
        <v>318900000</v>
      </c>
      <c r="C12" s="34">
        <v>320700000</v>
      </c>
      <c r="D12" s="34">
        <v>333200000</v>
      </c>
      <c r="E12" s="34">
        <v>356000000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2026-09-19T00:06:14Z</dcterms:modified>
</cp:coreProperties>
</file>