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<sst xmlns="http://schemas.openxmlformats.org/spreadsheetml/2006/main" count="120" uniqueCount="107">
  <si>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The Mosaic Company (MOS)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</si>
  <si>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</si>
  <si>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</si>
  <si>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</si>
  <si>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</si>
  <si>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</si>
  <si>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</si>
  <si>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</si>
  <si>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</si>
  <si>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</si>
  <si>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</si>
  <si>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</si>
  <si>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</si>
  <si>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</si>
  <si>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</si>
  <si>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</si>
  <si>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</si>
  <si>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</si>
  <si>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</si>
  <si>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</si>
  <si>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</si>
  <si>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</si>
  <si>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</si>
  <si>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</si>
  <si>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4.5x interest cover. Book interest / average debt was lower, at 5.0%.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</si>
  <si>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</si>
  <si>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</si>
  <si>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</si>
  <si>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</si>
  <si>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</si>
  <si>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</si>
  <si>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</si>
  <si>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</si>
  <si>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</si>
  <si>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</si>
  <si>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</si>
  <si>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</si>
  <si>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</si>
  <si>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</si>
  <si>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</si>
  <si>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</si>
  <si>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</si>
  <si>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</si>
  <si>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</si>
  <si>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</si>
  <si>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</si>
  <si>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</si>
  <si>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</si>
  <si>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</si>
  <si>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</si>
  <si>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</si>
  <si>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</si>
  <si>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</si>
  <si>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</si>
  <si>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</si>
  <si>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</si>
  <si>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</si>
  <si>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</si>
  <si>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</si>
  <si>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</si>
  <si>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</si>
  <si>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</si>
  <si>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</si>
  <si>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</si>
  <si>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</si>
  <si>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</si>
  <si>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</si>
  <si>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</si>
  <si>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</si>
  <si>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</si>
  <si>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</si>
  <si>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</si>
  <si>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</si>
  <si>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</si>
  <si>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</si>
  <si>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</si>
  <si>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</si>
  <si>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</si>
  <si>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</si>
  <si>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</si>
  <si>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</si>
  <si>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</si>
  <si>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</si>
  <si>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</si>
  <si>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</si>
  <si>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</si>
  <si>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</si>
  <si>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</si>
  <si>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</si>
  <si>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</si>
  <si>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</si>
  <si>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</si>
  <si>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</si>
  <si>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</si>
  <si>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</si>
  <si>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</si>
  <si>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</si>
  <si>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</si>
  <si>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</si>
  <si>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</si>
  <si>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</si>
  <si>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</si>
  <si>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</si>
  <si>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</si>
  <si>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</si>
  <si>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9.8% of revenue against depreciation of 7.5%.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</si>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</sst>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0.0065296621419799195</v>
      </c>
    </row>
    <row r="7" spans="1:2" x14ac:dyDescent="0.25">
      <c r="A7" t="s">
        <v>4</v>
      </c>
      <c r="B7" s="5">
        <v>0.12229007394892168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0.07456922614866604</v>
      </c>
    </row>
    <row r="10" spans="1:3" x14ac:dyDescent="0.25">
      <c r="A10" t="s">
        <v>7</v>
      </c>
      <c r="B10" s="5">
        <v>0.09823653710205124</v>
      </c>
      <c r="C10" s="6" t="s">
        <v>8</v>
      </c>
    </row>
    <row r="11" spans="1:2" x14ac:dyDescent="0.25">
      <c r="A11" t="s">
        <v>9</v>
      </c>
      <c r="B11" s="5">
        <v>0.20700486037050347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5.096777690500798</v>
      </c>
    </row>
    <row r="14" spans="1:3" x14ac:dyDescent="0.25">
      <c r="A14" t="s">
        <v>12</v>
      </c>
      <c r="B14" s="5">
        <v>0.06799305621336359</v>
      </c>
      <c r="C14" s="6" t="s">
        <v>13</v>
      </c>
    </row>
    <row r="15" spans="1:3" x14ac:dyDescent="0.25">
      <c r="A15" t="s">
        <v>14</v>
      </c>
      <c r="B15" s="5">
        <v>0.07456922614866604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0.94506</v>
      </c>
      <c r="C19" s="6" t="s">
        <v>21</v>
      </c>
    </row>
    <row r="20" spans="1:2" x14ac:dyDescent="0.25">
      <c r="A20" t="s">
        <v>22</v>
      </c>
      <c r="B20" s="9">
        <f>B17+B19*B18</f>
        <v>0.088916038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5846100992</v>
      </c>
    </row>
    <row r="23" spans="1:2" x14ac:dyDescent="0.25">
      <c r="A23" t="s">
        <v>26</v>
      </c>
      <c r="B23" s="10">
        <v>5279500000</v>
      </c>
    </row>
    <row r="24" spans="1:2" x14ac:dyDescent="0.25">
      <c r="A24" t="s">
        <v>27</v>
      </c>
      <c r="B24" s="9">
        <f>B22/(B22+B23)</f>
        <v>0.5254638375224593</v>
      </c>
    </row>
    <row r="25" spans="1:2" x14ac:dyDescent="0.25">
      <c r="A25" t="s">
        <v>28</v>
      </c>
      <c r="B25" s="9">
        <f>1-B24</f>
        <v>0.4745361624775407</v>
      </c>
    </row>
    <row r="26" spans="1:2" x14ac:dyDescent="0.25">
      <c r="A26" t="s">
        <v>29</v>
      </c>
      <c r="B26" s="11">
        <f>B24*B20+B25*B21*(1-B8)</f>
        <v>0.06799305621336359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12052400000</v>
      </c>
      <c r="C29" s="6" t="s">
        <v>32</v>
      </c>
    </row>
    <row r="30" spans="1:2" x14ac:dyDescent="0.25">
      <c r="A30" t="s">
        <v>33</v>
      </c>
      <c r="B30" s="10">
        <v>5002900000</v>
      </c>
    </row>
    <row r="31" spans="1:2" x14ac:dyDescent="0.25">
      <c r="A31" t="s">
        <v>34</v>
      </c>
      <c r="B31" s="12">
        <v>318900000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0.0065296621419799195</v>
      </c>
      <c r="C5" s="5">
        <v>0.06034484545137753</v>
      </c>
      <c r="D5" s="5">
        <v>0.05592673976995534</v>
      </c>
      <c r="E5" s="5">
        <v>0.051508634088533144</v>
      </c>
      <c r="F5" s="5">
        <v>0.047090528407110956</v>
      </c>
      <c r="G5" s="5">
        <v>0.04267242272568876</v>
      </c>
      <c r="H5" s="5">
        <v>0.03825431704426657</v>
      </c>
      <c r="I5" s="5">
        <v>0.033836211362844384</v>
      </c>
      <c r="J5" s="5">
        <v>0.029418105681422193</v>
      </c>
      <c r="K5" s="5">
        <v>0.025</v>
      </c>
    </row>
    <row r="6" spans="1:11" x14ac:dyDescent="0.25">
      <c r="A6" t="s">
        <v>50</v>
      </c>
      <c r="B6" s="18">
        <f>Assumptions!B29*(1+B5)</f>
        <v>12131098099.999998</v>
      </c>
      <c r="C6" s="18">
        <f>B6*(1+C5)</f>
        <v>12863147339.999998</v>
      </c>
      <c r="D6" s="18">
        <f>C6*(1+D5)</f>
        <v>13582541233.906773</v>
      </c>
      <c r="E6" s="18">
        <f>D6*(1+E5)</f>
        <v>14282159380.31649</v>
      </c>
      <c r="F6" s="18">
        <f>E6*(1+F5)</f>
        <v>14954713812.330172</v>
      </c>
      <c r="G6" s="18">
        <f>F6*(1+G5)</f>
        <v>15592867681.87162</v>
      </c>
      <c r="H6" s="18">
        <f>G6*(1+H5)</f>
        <v>16189362185.803236</v>
      </c>
      <c r="I6" s="18">
        <f>H6*(1+I5)</f>
        <v>16737148866.551714</v>
      </c>
      <c r="J6" s="18">
        <f>I6*(1+J5)</f>
        <v>17229524080.713627</v>
      </c>
      <c r="K6" s="18">
        <f>J6*(1+K5)</f>
        <v>17660262182.731464</v>
      </c>
    </row>
    <row r="7" spans="1:11" x14ac:dyDescent="0.25">
      <c r="A7" t="s">
        <v>4</v>
      </c>
      <c r="B7" s="9">
        <f>Assumptions!B7</f>
        <v>0.12229007394892168</v>
      </c>
      <c r="C7" s="9">
        <f>Assumptions!B7</f>
        <v>0.12229007394892168</v>
      </c>
      <c r="D7" s="9">
        <f>Assumptions!B7</f>
        <v>0.12229007394892168</v>
      </c>
      <c r="E7" s="9">
        <f>Assumptions!B7</f>
        <v>0.12229007394892168</v>
      </c>
      <c r="F7" s="9">
        <f>Assumptions!B7</f>
        <v>0.12229007394892168</v>
      </c>
      <c r="G7" s="9">
        <f>Assumptions!B7</f>
        <v>0.12229007394892168</v>
      </c>
      <c r="H7" s="9">
        <f>Assumptions!B7</f>
        <v>0.12229007394892168</v>
      </c>
      <c r="I7" s="9">
        <f>Assumptions!B7</f>
        <v>0.12229007394892168</v>
      </c>
      <c r="J7" s="9">
        <f>Assumptions!B7</f>
        <v>0.12229007394892168</v>
      </c>
      <c r="K7" s="9">
        <f>Assumptions!B7</f>
        <v>0.12229007394892168</v>
      </c>
    </row>
    <row r="8" spans="1:11" x14ac:dyDescent="0.25">
      <c r="A8" t="s">
        <v>51</v>
      </c>
      <c r="B8" s="18">
        <f>B6*B7</f>
        <v>1483512883.730623</v>
      </c>
      <c r="C8" s="18">
        <f>C6*C7</f>
        <v>1573035239.424475</v>
      </c>
      <c r="D8" s="18">
        <f>D6*D7</f>
        <v>1661009971.9087372</v>
      </c>
      <c r="E8" s="18">
        <f>E6*E7</f>
        <v>1746566326.769189</v>
      </c>
      <c r="F8" s="18">
        <f>F6*F7</f>
        <v>1828813057.994817</v>
      </c>
      <c r="G8" s="18">
        <f>G6*G7</f>
        <v>1906852941.8918314</v>
      </c>
      <c r="H8" s="18">
        <f>H6*H7</f>
        <v>1979798298.887754</v>
      </c>
      <c r="I8" s="18">
        <f>I6*I7</f>
        <v>2046787172.5847197</v>
      </c>
      <c r="J8" s="18">
        <f>J6*J7</f>
        <v>2106999773.9351962</v>
      </c>
      <c r="K8" s="18">
        <f>K6*K7</f>
        <v>2159674768.2835755</v>
      </c>
    </row>
    <row r="9" spans="1:11" x14ac:dyDescent="0.25">
      <c r="A9" t="s">
        <v>52</v>
      </c>
      <c r="B9" s="18">
        <f>B8*(1-Assumptions!B8)</f>
        <v>1171975178.1471922</v>
      </c>
      <c r="C9" s="18">
        <f>C8*(1-Assumptions!B8)</f>
        <v>1242697839.1453352</v>
      </c>
      <c r="D9" s="18">
        <f>D8*(1-Assumptions!B8)</f>
        <v>1312197877.8079023</v>
      </c>
      <c r="E9" s="18">
        <f>E8*(1-Assumptions!B8)</f>
        <v>1379787398.1476593</v>
      </c>
      <c r="F9" s="18">
        <f>F8*(1-Assumptions!B8)</f>
        <v>1444762315.8159056</v>
      </c>
      <c r="G9" s="18">
        <f>G8*(1-Assumptions!B8)</f>
        <v>1506413824.0945468</v>
      </c>
      <c r="H9" s="18">
        <f>H8*(1-Assumptions!B8)</f>
        <v>1564040656.1213257</v>
      </c>
      <c r="I9" s="18">
        <f>I8*(1-Assumptions!B8)</f>
        <v>1616961866.3419287</v>
      </c>
      <c r="J9" s="18">
        <f>J8*(1-Assumptions!B8)</f>
        <v>1664529821.4088051</v>
      </c>
      <c r="K9" s="18">
        <f>K8*(1-Assumptions!B8)</f>
        <v>1706143066.9440248</v>
      </c>
    </row>
    <row r="10" spans="1:11" x14ac:dyDescent="0.25">
      <c r="A10" t="s">
        <v>53</v>
      </c>
      <c r="B10" s="18">
        <f>B6*Assumptions!B9</f>
        <v>904606597.6505527</v>
      </c>
      <c r="C10" s="18">
        <f>C6*Assumptions!B9</f>
        <v>959194942.9800719</v>
      </c>
      <c r="D10" s="18">
        <f>D6*Assumptions!B9</f>
        <v>1012839588.9447756</v>
      </c>
      <c r="E10" s="18">
        <f>E6*Assumptions!B9</f>
        <v>1065009572.7221124</v>
      </c>
      <c r="F10" s="18">
        <f>F6*Assumptions!B9</f>
        <v>1115161436.2602282</v>
      </c>
      <c r="G10" s="18">
        <f>G6*Assumptions!B9</f>
        <v>1162748076.4757109</v>
      </c>
      <c r="H10" s="18">
        <f>H6*Assumptions!B9</f>
        <v>1207228210.0358238</v>
      </c>
      <c r="I10" s="18">
        <f>I6*Assumptions!B9</f>
        <v>1248076238.9137843</v>
      </c>
      <c r="J10" s="18">
        <f>J6*Assumptions!B9</f>
        <v>1284792277.6086218</v>
      </c>
      <c r="K10" s="18">
        <f>K6*Assumptions!B9</f>
        <v>1316912084.5488372</v>
      </c>
    </row>
    <row r="11" spans="1:11" x14ac:dyDescent="0.25">
      <c r="A11" t="s">
        <v>54</v>
      </c>
      <c r="B11" s="18">
        <f>-B6*B19</f>
        <v>-1191717068.5892732</v>
      </c>
      <c r="C11" s="18">
        <f>-C6*C19</f>
        <v>-1280573801.568725</v>
      </c>
      <c r="D11" s="18">
        <f>-D6*D19</f>
        <v>-1370082422.7857401</v>
      </c>
      <c r="E11" s="18">
        <f>-E6*E19</f>
        <v>-1459465305.527278</v>
      </c>
      <c r="F11" s="18">
        <f>-F6*F19</f>
        <v>-1547889964.5166938</v>
      </c>
      <c r="G11" s="18">
        <f>-G6*G19</f>
        <v>-1634480393.1298625</v>
      </c>
      <c r="H11" s="18">
        <f>-H6*H19</f>
        <v>-1718330213.3447068</v>
      </c>
      <c r="I11" s="18">
        <f>-I6*I19</f>
        <v>-1798517406.3051062</v>
      </c>
      <c r="J11" s="18">
        <f>-J6*J19</f>
        <v>-1874120324.2662323</v>
      </c>
      <c r="K11" s="18">
        <f>-K6*K19</f>
        <v>-1944234623.776267</v>
      </c>
    </row>
    <row r="12" spans="1:11" x14ac:dyDescent="0.25">
      <c r="A12" t="s">
        <v>55</v>
      </c>
      <c r="B12" s="18">
        <f>-(B6-Assumptions!B29)*Assumptions!B11</f>
        <v>-16290889.201923525</v>
      </c>
      <c r="C12" s="18">
        <f>-(C6-B6)*Assumptions!B11</f>
        <v>-151537750.71053317</v>
      </c>
      <c r="D12" s="18">
        <f>-(D6-C6)*Assumptions!B11</f>
        <v>-148918032.55956465</v>
      </c>
      <c r="E12" s="18">
        <f>-(E6-D6)*Assumptions!B11</f>
        <v>-144824356.71021405</v>
      </c>
      <c r="F12" s="18">
        <f>-(F6-E6)*Assumptions!B11</f>
        <v>-139222036.2905554</v>
      </c>
      <c r="G12" s="18">
        <f>-(G6-F6)*Assumptions!B11</f>
        <v>-132100952.65932405</v>
      </c>
      <c r="H12" s="18">
        <f>-(H6-G6)*Assumptions!B11</f>
        <v>-123477261.49813686</v>
      </c>
      <c r="I12" s="18">
        <f>-(I6-H6)*Assumptions!B11</f>
        <v>-113394505.36116023</v>
      </c>
      <c r="J12" s="18">
        <f>-(J6-I6)*Assumptions!B11</f>
        <v>-101924062.45748353</v>
      </c>
      <c r="K12" s="18">
        <f>-(K6-J6)*Assumptions!B11</f>
        <v>-89164880.66445814</v>
      </c>
    </row>
    <row r="13" spans="1:11" x14ac:dyDescent="0.25">
      <c r="A13" s="19" t="s">
        <v>56</v>
      </c>
      <c r="B13" s="20">
        <f>B9+B10+B11+B12</f>
        <v>868573818.0065483</v>
      </c>
      <c r="C13" s="20">
        <f>C9+C10+C11+C12</f>
        <v>769781229.846149</v>
      </c>
      <c r="D13" s="20">
        <f>D9+D10+D11+D12</f>
        <v>806037011.4073732</v>
      </c>
      <c r="E13" s="20">
        <f>E9+E10+E11+E12</f>
        <v>840507308.63228</v>
      </c>
      <c r="F13" s="20">
        <f>F9+F10+F11+F12</f>
        <v>872811751.2688845</v>
      </c>
      <c r="G13" s="20">
        <f>G9+G10+G11+G12</f>
        <v>902580554.7810711</v>
      </c>
      <c r="H13" s="20">
        <f>H9+H10+H11+H12</f>
        <v>929461391.3143057</v>
      </c>
      <c r="I13" s="20">
        <f>I9+I10+I11+I12</f>
        <v>953126193.5894465</v>
      </c>
      <c r="J13" s="20">
        <f>J9+J10+J11+J12</f>
        <v>973277712.2937112</v>
      </c>
      <c r="K13" s="20">
        <f>K9+K10+K11+K12</f>
        <v>989655647.0521365</v>
      </c>
    </row>
    <row r="14" spans="1:11" x14ac:dyDescent="0.25">
      <c r="A14" t="s">
        <v>57</v>
      </c>
      <c r="B14" s="21">
        <f>1/(1+Assumptions!$B$26)^(1-0.5*Assumptions!$B$32)</f>
        <v>0.9676443953040039</v>
      </c>
      <c r="C14" s="21">
        <f>1/(1+Assumptions!$B$26)^(2-0.5*Assumptions!$B$32)</f>
        <v>0.9060399687754974</v>
      </c>
      <c r="D14" s="21">
        <f>1/(1+Assumptions!$B$26)^(3-0.5*Assumptions!$B$32)</f>
        <v>0.8483575464319207</v>
      </c>
      <c r="E14" s="21">
        <f>1/(1+Assumptions!$B$26)^(4-0.5*Assumptions!$B$32)</f>
        <v>0.7943474365271866</v>
      </c>
      <c r="F14" s="21">
        <f>1/(1+Assumptions!$B$26)^(5-0.5*Assumptions!$B$32)</f>
        <v>0.7437758437714899</v>
      </c>
      <c r="G14" s="21">
        <f>1/(1+Assumptions!$B$26)^(6-0.5*Assumptions!$B$32)</f>
        <v>0.6964238572941606</v>
      </c>
      <c r="H14" s="21">
        <f>1/(1+Assumptions!$B$26)^(7-0.5*Assumptions!$B$32)</f>
        <v>0.6520865030371781</v>
      </c>
      <c r="I14" s="21">
        <f>1/(1+Assumptions!$B$26)^(8-0.5*Assumptions!$B$32)</f>
        <v>0.6105718564774117</v>
      </c>
      <c r="J14" s="21">
        <f>1/(1+Assumptions!$B$26)^(9-0.5*Assumptions!$B$32)</f>
        <v>0.5717002118368003</v>
      </c>
      <c r="K14" s="21">
        <f>1/(1+Assumptions!$B$26)^(10-0.5*Assumptions!$B$32)</f>
        <v>0.5353033041842046</v>
      </c>
    </row>
    <row r="15" spans="1:11" x14ac:dyDescent="0.25">
      <c r="A15" s="19" t="s">
        <v>58</v>
      </c>
      <c r="B15" s="20">
        <f>B13*B14</f>
        <v>840470586.9018364</v>
      </c>
      <c r="C15" s="20">
        <f>C13*C14</f>
        <v>697452561.4537688</v>
      </c>
      <c r="D15" s="20">
        <f>D13*D14</f>
        <v>683807581.3308772</v>
      </c>
      <c r="E15" s="20">
        <f>E13*E14</f>
        <v>667654825.9944165</v>
      </c>
      <c r="F15" s="20">
        <f>F13*F14</f>
        <v>649176296.7536863</v>
      </c>
      <c r="G15" s="20">
        <f>G13*G14</f>
        <v>628578631.4793369</v>
      </c>
      <c r="H15" s="20">
        <f>H13*H14</f>
        <v>606089228.3702158</v>
      </c>
      <c r="I15" s="20">
        <f>I13*I14</f>
        <v>581952029.4771574</v>
      </c>
      <c r="J15" s="20">
        <f>J13*J14</f>
        <v>556423074.2943511</v>
      </c>
      <c r="K15" s="20">
        <f>K13*K14</f>
        <v>529765937.87156564</v>
      </c>
    </row>
    <row r="17" spans="1:2" x14ac:dyDescent="0.25">
      <c r="A17" s="22" t="s">
        <v>59</v>
      </c>
      <c r="B17" s="23">
        <f>SUM(B15:K15)</f>
        <v>6441370753.927213</v>
      </c>
    </row>
    <row r="19" spans="1:11" x14ac:dyDescent="0.25">
      <c r="A19" t="s">
        <v>7</v>
      </c>
      <c r="B19" s="9">
        <f>Assumptions!$B$10+($B$20-Assumptions!$B$10)*0/9</f>
        <v>0.09823653710205124</v>
      </c>
      <c r="C19" s="9">
        <f>Assumptions!$B$10+($B$20-Assumptions!$B$10)*1/9</f>
        <v>0.09955369146605184</v>
      </c>
      <c r="D19" s="9">
        <f>Assumptions!$B$10+($B$20-Assumptions!$B$10)*2/9</f>
        <v>0.10087084583005243</v>
      </c>
      <c r="E19" s="9">
        <f>Assumptions!$B$10+($B$20-Assumptions!$B$10)*3/9</f>
        <v>0.10218800019405304</v>
      </c>
      <c r="F19" s="9">
        <f>Assumptions!$B$10+($B$20-Assumptions!$B$10)*4/9</f>
        <v>0.10350515455805363</v>
      </c>
      <c r="G19" s="9">
        <f>Assumptions!$B$10+($B$20-Assumptions!$B$10)*5/9</f>
        <v>0.10482230892205423</v>
      </c>
      <c r="H19" s="9">
        <f>Assumptions!$B$10+($B$20-Assumptions!$B$10)*6/9</f>
        <v>0.10613946328605482</v>
      </c>
      <c r="I19" s="9">
        <f>Assumptions!$B$10+($B$20-Assumptions!$B$10)*7/9</f>
        <v>0.10745661765005543</v>
      </c>
      <c r="J19" s="9">
        <f>Assumptions!$B$10+($B$20-Assumptions!$B$10)*8/9</f>
        <v>0.10877377201405602</v>
      </c>
      <c r="K19" s="9">
        <f>Assumptions!$B$10+($B$20-Assumptions!$B$10)*9/9</f>
        <v>0.11009092637805662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0.11009092637805662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989655647.0521365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1706143066.9440248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0.367684604756543</v>
      </c>
    </row>
    <row r="7" spans="1:2" x14ac:dyDescent="0.25">
      <c r="A7" t="s">
        <v>66</v>
      </c>
      <c r="B7" s="18">
        <f>-MAX(B5,0)*B6</f>
        <v>-627322539.2274299</v>
      </c>
    </row>
    <row r="8" spans="1:2" x14ac:dyDescent="0.25">
      <c r="A8" t="s">
        <v>67</v>
      </c>
      <c r="B8" s="18">
        <f>IF(OR(Assumptions!$B$33=0,Assumptions!B12&lt;=0),B5,MAX(B5+B7,0))</f>
        <v>1078820527.716595</v>
      </c>
    </row>
    <row r="9" spans="1:2" x14ac:dyDescent="0.25">
      <c r="A9" t="s">
        <v>68</v>
      </c>
      <c r="B9" s="18">
        <f>B8*(1+Assumptions!B12)/(Assumptions!B26-Assumptions!B12)</f>
        <v>25720224108.32462</v>
      </c>
    </row>
    <row r="10" spans="1:2" x14ac:dyDescent="0.25">
      <c r="A10" t="s">
        <v>69</v>
      </c>
      <c r="B10" s="18">
        <f>B9/(1+Assumptions!B26)^(10-0.5*Assumptions!B32)</f>
        <v>13768120949.544405</v>
      </c>
    </row>
    <row r="11" spans="1:2" x14ac:dyDescent="0.25">
      <c r="A11" t="s">
        <v>70</v>
      </c>
      <c r="B11" s="18">
        <f>Forecast!B17+B10</f>
        <v>20209491703.47162</v>
      </c>
    </row>
    <row r="12" spans="1:2" x14ac:dyDescent="0.25">
      <c r="A12" t="s">
        <v>71</v>
      </c>
      <c r="B12" s="18">
        <f>-Assumptions!B30</f>
        <v>-5002900000</v>
      </c>
    </row>
    <row r="13" spans="1:2" x14ac:dyDescent="0.25">
      <c r="A13" t="s">
        <v>72</v>
      </c>
      <c r="B13" s="18">
        <f>B11+B12</f>
        <v>15206591703.471619</v>
      </c>
    </row>
    <row r="14" spans="1:2" x14ac:dyDescent="0.25">
      <c r="A14" s="19" t="s">
        <v>73</v>
      </c>
      <c r="B14" s="24">
        <f>B13/Assumptions!B31</f>
        <v>47.6845145922597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3476586852.8324127</v>
      </c>
    </row>
    <row r="18" spans="1:2" x14ac:dyDescent="0.25">
      <c r="A18" t="s">
        <v>68</v>
      </c>
      <c r="B18" s="18">
        <f>B17*Assumptions!B13</f>
        <v>17719390310.60462</v>
      </c>
    </row>
    <row r="19" spans="1:2" x14ac:dyDescent="0.25">
      <c r="A19" t="s">
        <v>69</v>
      </c>
      <c r="B19" s="18">
        <f>B18/(1+Assumptions!B26)^(10-0.5*Assumptions!B32)</f>
        <v>9485248181.396233</v>
      </c>
    </row>
    <row r="20" spans="1:2" x14ac:dyDescent="0.25">
      <c r="A20" t="s">
        <v>70</v>
      </c>
      <c r="B20" s="18">
        <f>Forecast!B17+B19</f>
        <v>15926618935.323444</v>
      </c>
    </row>
    <row r="21" spans="1:2" x14ac:dyDescent="0.25">
      <c r="A21" t="s">
        <v>71</v>
      </c>
      <c r="B21" s="18">
        <f>-Assumptions!B30</f>
        <v>-5002900000</v>
      </c>
    </row>
    <row r="22" spans="1:2" x14ac:dyDescent="0.25">
      <c r="A22" t="s">
        <v>72</v>
      </c>
      <c r="B22" s="18">
        <f>B20+B21</f>
        <v>10923718935.323444</v>
      </c>
    </row>
    <row r="23" spans="1:2" x14ac:dyDescent="0.25">
      <c r="A23" s="19" t="s">
        <v>73</v>
      </c>
      <c r="B23" s="25">
        <f>B22/Assumptions!B31</f>
        <v>34.25437107345075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18.39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47.6845145922597</v>
      </c>
    </row>
    <row r="29" spans="1:2" x14ac:dyDescent="0.25">
      <c r="A29" s="19" t="s">
        <v>81</v>
      </c>
      <c r="B29" s="11">
        <f>B28/B26-1</f>
        <v>1.5929589229069983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0.047993</v>
      </c>
      <c r="B5" s="31">
        <v>85.60913680336225</v>
      </c>
      <c r="C5" s="31">
        <v>87.2306722470817</v>
      </c>
      <c r="D5" s="31">
        <v>90.11265146047383</v>
      </c>
      <c r="E5" s="31">
        <v>95.30585288766092</v>
      </c>
      <c r="F5" s="31">
        <v>105.47850813080743</v>
      </c>
    </row>
    <row r="6" spans="1:6" x14ac:dyDescent="0.25">
      <c r="A6" s="30">
        <v>0.057993</v>
      </c>
      <c r="B6" s="31">
        <v>62.05535678537487</v>
      </c>
      <c r="C6" s="31">
        <v>60.88393152223308</v>
      </c>
      <c r="D6" s="31">
        <v>59.71250625909125</v>
      </c>
      <c r="E6" s="31">
        <v>58.54108099594945</v>
      </c>
      <c r="F6" s="31">
        <v>57.36965573280764</v>
      </c>
    </row>
    <row r="7" spans="1:6" x14ac:dyDescent="0.25">
      <c r="A7" s="30">
        <v>0.067993</v>
      </c>
      <c r="B7" s="31">
        <v>49.57173829545125</v>
      </c>
      <c r="C7" s="31">
        <v>48.62815517165021</v>
      </c>
      <c r="D7" s="32">
        <v>47.68457204784915</v>
      </c>
      <c r="E7" s="31">
        <v>46.74098892404812</v>
      </c>
      <c r="F7" s="31">
        <v>45.79740580024705</v>
      </c>
    </row>
    <row r="8" spans="1:6" x14ac:dyDescent="0.25">
      <c r="A8" s="30">
        <v>0.077993</v>
      </c>
      <c r="B8" s="31">
        <v>40.360410687437636</v>
      </c>
      <c r="C8" s="31">
        <v>39.582866860348595</v>
      </c>
      <c r="D8" s="31">
        <v>38.80532303325955</v>
      </c>
      <c r="E8" s="31">
        <v>38.02777920617052</v>
      </c>
      <c r="F8" s="31">
        <v>37.250235379081474</v>
      </c>
    </row>
    <row r="9" spans="1:6" x14ac:dyDescent="0.25">
      <c r="A9" s="30">
        <v>0.087993</v>
      </c>
      <c r="B9" s="31">
        <v>33.300590888862686</v>
      </c>
      <c r="C9" s="31">
        <v>32.64859720107714</v>
      </c>
      <c r="D9" s="31">
        <v>31.996603513291575</v>
      </c>
      <c r="E9" s="31">
        <v>31.344609825506033</v>
      </c>
      <c r="F9" s="31">
        <v>30.692616137720467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12052400000</v>
      </c>
      <c r="C5" s="18">
        <v>11122800000</v>
      </c>
      <c r="D5" s="18">
        <v>13696100000</v>
      </c>
      <c r="E5" s="18">
        <v>19125200000</v>
      </c>
      <c r="F5" s="6" t="s">
        <v>91</v>
      </c>
    </row>
    <row r="6" spans="1:6" x14ac:dyDescent="0.25">
      <c r="A6" t="s">
        <v>51</v>
      </c>
      <c r="B6" s="18">
        <v>1078700000</v>
      </c>
      <c r="C6" s="18">
        <v>621500000</v>
      </c>
      <c r="D6" s="18">
        <v>1281600000</v>
      </c>
      <c r="E6" s="18">
        <v>4785300000</v>
      </c>
      <c r="F6" s="6" t="s">
        <v>92</v>
      </c>
    </row>
    <row r="7" spans="1:6" x14ac:dyDescent="0.25">
      <c r="A7" t="s">
        <v>93</v>
      </c>
      <c r="B7" s="18">
        <v>1049900000</v>
      </c>
      <c r="C7" s="18">
        <v>1025500000</v>
      </c>
      <c r="D7" s="18">
        <v>960600000</v>
      </c>
      <c r="E7" s="18">
        <v>933900000</v>
      </c>
      <c r="F7" s="6" t="s">
        <v>94</v>
      </c>
    </row>
    <row r="8" spans="1:6" x14ac:dyDescent="0.25">
      <c r="A8" t="s">
        <v>95</v>
      </c>
      <c r="B8" s="18">
        <v>1359400000</v>
      </c>
      <c r="C8" s="18">
        <v>1251800000</v>
      </c>
      <c r="D8" s="18">
        <v>1402400000</v>
      </c>
      <c r="E8" s="18">
        <v>1247300000</v>
      </c>
      <c r="F8" s="6" t="s">
        <v>96</v>
      </c>
    </row>
    <row r="9" spans="1:6" x14ac:dyDescent="0.25">
      <c r="A9" t="s">
        <v>97</v>
      </c>
      <c r="B9" s="18">
        <v>961300000</v>
      </c>
      <c r="C9" s="18">
        <v>-21100000</v>
      </c>
      <c r="D9" s="18">
        <v>-401700000</v>
      </c>
      <c r="E9" s="18">
        <v>992500000</v>
      </c>
      <c r="F9" s="6" t="s">
        <v>98</v>
      </c>
    </row>
    <row r="10" spans="1:6" x14ac:dyDescent="0.25">
      <c r="A10" t="s">
        <v>99</v>
      </c>
      <c r="B10" s="18">
        <v>5279500000</v>
      </c>
      <c r="C10" s="18">
        <v>4449800000</v>
      </c>
      <c r="D10" s="18">
        <v>3994800000</v>
      </c>
      <c r="E10" s="18">
        <v>3808000000</v>
      </c>
      <c r="F10" s="6" t="s">
        <v>100</v>
      </c>
    </row>
    <row r="11" spans="1:6" x14ac:dyDescent="0.25">
      <c r="A11" t="s">
        <v>101</v>
      </c>
      <c r="B11" s="18">
        <v>276600000</v>
      </c>
      <c r="C11" s="18">
        <v>272800000</v>
      </c>
      <c r="D11" s="18">
        <v>348800000</v>
      </c>
      <c r="E11" s="18">
        <v>735400000</v>
      </c>
      <c r="F11" s="6" t="s">
        <v>102</v>
      </c>
    </row>
    <row r="12" spans="1:6" x14ac:dyDescent="0.25">
      <c r="A12" t="s">
        <v>34</v>
      </c>
      <c r="B12" s="34">
        <v>318900000</v>
      </c>
      <c r="C12" s="34">
        <v>320700000</v>
      </c>
      <c r="D12" s="34">
        <v>333200000</v>
      </c>
      <c r="E12" s="34">
        <v>356000000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