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<sst xmlns="http://schemas.openxmlformats.org/spreadsheetml/2006/main" count="111" uniqueCount="99">
  <si>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Marathon Petroleum Corporation (MPC)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</si>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</sst>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-0.09232974945771899</v>
      </c>
    </row>
    <row r="7" spans="1:2" x14ac:dyDescent="0.25">
      <c r="A7" t="s">
        <v>5</v>
      </c>
      <c r="B7" s="6">
        <v>0.06824600886970343</v>
      </c>
    </row>
    <row r="8" spans="1:2" x14ac:dyDescent="0.25">
      <c r="A8" t="s">
        <v>6</v>
      </c>
      <c r="B8" s="6">
        <v>0.1817268807122509</v>
      </c>
    </row>
    <row r="9" spans="1:2" x14ac:dyDescent="0.25">
      <c r="A9" t="s">
        <v>7</v>
      </c>
      <c r="B9" s="6">
        <v>0.022233688595883833</v>
      </c>
    </row>
    <row r="10" spans="1:2" x14ac:dyDescent="0.25">
      <c r="A10" t="s">
        <v>8</v>
      </c>
      <c r="B10" s="6">
        <v>0.017721478398925065</v>
      </c>
    </row>
    <row r="11" spans="1:2" x14ac:dyDescent="0.25">
      <c r="A11" t="s">
        <v>9</v>
      </c>
      <c r="B11" s="6">
        <v>0.010146522666299786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16.632181185497284</v>
      </c>
    </row>
    <row r="14" spans="1:3" x14ac:dyDescent="0.25">
      <c r="A14" t="s">
        <v>12</v>
      </c>
      <c r="B14" s="6">
        <v>0.14710243795431546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0.68309</v>
      </c>
      <c r="C19" s="8" t="s">
        <v>19</v>
      </c>
    </row>
    <row r="20" spans="1:2" x14ac:dyDescent="0.25">
      <c r="A20" t="s">
        <v>20</v>
      </c>
      <c r="B20" s="10">
        <f>B17+B19*B18</f>
        <v>0.08754995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119319642112</v>
      </c>
    </row>
    <row r="23" spans="1:2" x14ac:dyDescent="0.25">
      <c r="A23" t="s">
        <v>24</v>
      </c>
      <c r="B23" s="11">
        <v>34358000000</v>
      </c>
    </row>
    <row r="24" spans="1:2" x14ac:dyDescent="0.25">
      <c r="A24" t="s">
        <v>25</v>
      </c>
      <c r="B24" s="10">
        <f>B22/(B22+B23)</f>
        <v>0.7764281158416008</v>
      </c>
    </row>
    <row r="25" spans="1:2" x14ac:dyDescent="0.25">
      <c r="A25" t="s">
        <v>26</v>
      </c>
      <c r="B25" s="10">
        <f>1-B24</f>
        <v>0.22357188415839924</v>
      </c>
    </row>
    <row r="26" spans="1:2" x14ac:dyDescent="0.25">
      <c r="A26" t="s">
        <v>27</v>
      </c>
      <c r="B26" s="12">
        <f>B24*B20+B25*B21*(1-B8)</f>
        <v>0.07711972701503228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132699000000</v>
      </c>
      <c r="C29" s="8" t="s">
        <v>30</v>
      </c>
    </row>
    <row r="30" spans="1:2" x14ac:dyDescent="0.25">
      <c r="A30" t="s">
        <v>31</v>
      </c>
      <c r="B30" s="11">
        <v>30686000000</v>
      </c>
    </row>
    <row r="31" spans="1:2" x14ac:dyDescent="0.25">
      <c r="A31" t="s">
        <v>32</v>
      </c>
      <c r="B31" s="13">
        <v>306000000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-0.09232974945771899</v>
      </c>
      <c r="C5" s="10">
        <f>Assumptions!B6</f>
        <v>-0.09232974945771899</v>
      </c>
      <c r="D5" s="10">
        <f>Assumptions!B6</f>
        <v>-0.09232974945771899</v>
      </c>
      <c r="E5" s="10">
        <f>Assumptions!B6</f>
        <v>-0.09232974945771899</v>
      </c>
      <c r="F5" s="10">
        <f>Assumptions!B6</f>
        <v>-0.09232974945771899</v>
      </c>
    </row>
    <row r="6" spans="1:6" x14ac:dyDescent="0.25">
      <c r="A6" t="s">
        <v>43</v>
      </c>
      <c r="B6" s="18">
        <f>Assumptions!B29*(1+B5)</f>
        <v>120446934576.71014</v>
      </c>
      <c r="C6" s="18">
        <f>B6*(1+C5)</f>
        <v>109326099284.29222</v>
      </c>
      <c r="D6" s="18">
        <f>C6*(1+D5)</f>
        <v>99232047928.1838</v>
      </c>
      <c r="E6" s="18">
        <f>D6*(1+E5)</f>
        <v>90069977804.79823</v>
      </c>
      <c r="F6" s="18">
        <f>E6*(1+F5)</f>
        <v>81753839320.4189</v>
      </c>
    </row>
    <row r="7" spans="1:6" x14ac:dyDescent="0.25">
      <c r="A7" t="s">
        <v>5</v>
      </c>
      <c r="B7" s="10">
        <f>Assumptions!B7</f>
        <v>0.06824600886970343</v>
      </c>
      <c r="C7" s="10">
        <f>Assumptions!B7</f>
        <v>0.06824600886970343</v>
      </c>
      <c r="D7" s="10">
        <f>Assumptions!B7</f>
        <v>0.06824600886970343</v>
      </c>
      <c r="E7" s="10">
        <f>Assumptions!B7</f>
        <v>0.06824600886970343</v>
      </c>
      <c r="F7" s="10">
        <f>Assumptions!B7</f>
        <v>0.06824600886970343</v>
      </c>
    </row>
    <row r="8" spans="1:6" x14ac:dyDescent="0.25">
      <c r="A8" t="s">
        <v>44</v>
      </c>
      <c r="B8" s="18">
        <f>B6*B7</f>
        <v>8220022565.450749</v>
      </c>
      <c r="C8" s="18">
        <f>C6*C7</f>
        <v>7461069941.445885</v>
      </c>
      <c r="D8" s="18">
        <f>D6*D7</f>
        <v>6772191223.065668</v>
      </c>
      <c r="E8" s="18">
        <f>E6*E7</f>
        <v>6146916504.160252</v>
      </c>
      <c r="F8" s="18">
        <f>F6*F7</f>
        <v>5579373243.393618</v>
      </c>
    </row>
    <row r="9" spans="1:6" x14ac:dyDescent="0.25">
      <c r="A9" t="s">
        <v>45</v>
      </c>
      <c r="B9" s="18">
        <f>B8*(1-Assumptions!B8)</f>
        <v>6726223505.24707</v>
      </c>
      <c r="C9" s="18">
        <f>C8*(1-Assumptions!B8)</f>
        <v>6105192974.210987</v>
      </c>
      <c r="D9" s="18">
        <f>D8*(1-Assumptions!B8)</f>
        <v>5541502036.511061</v>
      </c>
      <c r="E9" s="18">
        <f>E8*(1-Assumptions!B8)</f>
        <v>5029856541.860555</v>
      </c>
      <c r="F9" s="18">
        <f>F8*(1-Assumptions!B8)</f>
        <v>4565451147.542301</v>
      </c>
    </row>
    <row r="10" spans="1:6" x14ac:dyDescent="0.25">
      <c r="A10" t="s">
        <v>46</v>
      </c>
      <c r="B10" s="18">
        <f>B6*Assumptions!B9</f>
        <v>2677979635.7073665</v>
      </c>
      <c r="C10" s="18">
        <f>C6*Assumptions!B9</f>
        <v>2430722446.8896317</v>
      </c>
      <c r="D10" s="18">
        <f>D6*Assumptions!B9</f>
        <v>2206294452.3670583</v>
      </c>
      <c r="E10" s="18">
        <f>E6*Assumptions!B9</f>
        <v>2002587838.3500524</v>
      </c>
      <c r="F10" s="18">
        <f>F6*Assumptions!B9</f>
        <v>1817689404.968117</v>
      </c>
    </row>
    <row r="11" spans="1:6" x14ac:dyDescent="0.25">
      <c r="A11" t="s">
        <v>47</v>
      </c>
      <c r="B11" s="18">
        <f>-B6*Assumptions!B10</f>
        <v>-2134497749.3179095</v>
      </c>
      <c r="C11" s="18">
        <f>-C6*Assumptions!B10</f>
        <v>-1937420106.9053216</v>
      </c>
      <c r="D11" s="18">
        <f>-D6*Assumptions!B10</f>
        <v>-1758538593.8404062</v>
      </c>
      <c r="E11" s="18">
        <f>-E6*Assumptions!B10</f>
        <v>-1596173166.059392</v>
      </c>
      <c r="F11" s="18">
        <f>-F6*Assumptions!B10</f>
        <v>-1448798897.5459943</v>
      </c>
    </row>
    <row r="12" spans="1:6" x14ac:dyDescent="0.25">
      <c r="A12" t="s">
        <v>48</v>
      </c>
      <c r="B12" s="18">
        <f>-(B6-Assumptions!B29)*Assumptions!B11</f>
        <v>124315859.5263984</v>
      </c>
      <c r="C12" s="18">
        <f>-(C6-B6)*Assumptions!B11</f>
        <v>112837807.36270507</v>
      </c>
      <c r="D12" s="18">
        <f>-(D6-C6)*Assumptions!B11</f>
        <v>102419520.87954812</v>
      </c>
      <c r="E12" s="18">
        <f>-(E6-D6)*Assumptions!B11</f>
        <v>92963152.1771598</v>
      </c>
      <c r="F12" s="18">
        <f>-(F6-E6)*Assumptions!B11</f>
        <v>84379887.62784286</v>
      </c>
    </row>
    <row r="13" spans="1:6" x14ac:dyDescent="0.25">
      <c r="A13" s="19" t="s">
        <v>49</v>
      </c>
      <c r="B13" s="20">
        <f>B9+B10+B11+B12</f>
        <v>7394021251.162927</v>
      </c>
      <c r="C13" s="20">
        <f>C9+C10+C11+C12</f>
        <v>6711333121.558002</v>
      </c>
      <c r="D13" s="20">
        <f>D9+D10+D11+D12</f>
        <v>6091677415.91726</v>
      </c>
      <c r="E13" s="20">
        <f>E9+E10+E11+E12</f>
        <v>5529234366.328376</v>
      </c>
      <c r="F13" s="20">
        <f>F9+F10+F11+F12</f>
        <v>5018721542.592267</v>
      </c>
    </row>
    <row r="14" spans="1:6" x14ac:dyDescent="0.25">
      <c r="A14" t="s">
        <v>50</v>
      </c>
      <c r="B14" s="21">
        <f>1/(1+Assumptions!$B$26)^(1-0.5*Assumptions!$B$32)</f>
        <v>0.9635361430634962</v>
      </c>
      <c r="C14" s="21">
        <f>1/(1+Assumptions!$B$26)^(2-0.5*Assumptions!$B$32)</f>
        <v>0.8945487849653405</v>
      </c>
      <c r="D14" s="21">
        <f>1/(1+Assumptions!$B$26)^(3-0.5*Assumptions!$B$32)</f>
        <v>0.8305007907007315</v>
      </c>
      <c r="E14" s="21">
        <f>1/(1+Assumptions!$B$26)^(4-0.5*Assumptions!$B$32)</f>
        <v>0.7710385111989885</v>
      </c>
      <c r="F14" s="21">
        <f>1/(1+Assumptions!$B$26)^(5-0.5*Assumptions!$B$32)</f>
        <v>0.7158336179913153</v>
      </c>
    </row>
    <row r="15" spans="1:6" x14ac:dyDescent="0.25">
      <c r="A15" s="19" t="s">
        <v>51</v>
      </c>
      <c r="B15" s="20">
        <f>B13*B14</f>
        <v>7124406718.075053</v>
      </c>
      <c r="C15" s="20">
        <f>C13*C14</f>
        <v>6003614889.387357</v>
      </c>
      <c r="D15" s="20">
        <f>D13*D14</f>
        <v>5059142910.613073</v>
      </c>
      <c r="E15" s="20">
        <f>E13*E14</f>
        <v>4263252633.8841133</v>
      </c>
      <c r="F15" s="20">
        <f>F13*F14</f>
        <v>3592569599.5247774</v>
      </c>
    </row>
    <row r="17" spans="1:2" x14ac:dyDescent="0.25">
      <c r="A17" s="22" t="s">
        <v>52</v>
      </c>
      <c r="B17" s="23">
        <f>SUM(B15:F15)</f>
        <v>26042986751.484375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5018721542.592267</v>
      </c>
    </row>
    <row r="5" spans="1:2" x14ac:dyDescent="0.25">
      <c r="A5" t="s">
        <v>56</v>
      </c>
      <c r="B5" s="18">
        <f>IF(Assumptions!$B$33=0,B4,B4-Forecast!F11-Forecast!F10-Forecast!F12)</f>
        <v>4565451147.542301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0.16994959667333365</v>
      </c>
    </row>
    <row r="7" spans="1:2" x14ac:dyDescent="0.25">
      <c r="A7" t="s">
        <v>58</v>
      </c>
      <c r="B7" s="18">
        <f>-MAX(Forecast!F9,0)*B6</f>
        <v>-775896581.1566224</v>
      </c>
    </row>
    <row r="8" spans="1:2" x14ac:dyDescent="0.25">
      <c r="A8" t="s">
        <v>59</v>
      </c>
      <c r="B8" s="18">
        <f>IF(OR(Assumptions!$B$33=0,Assumptions!B12&lt;=0),B5,MAX(B5+B7,0))</f>
        <v>3789554566.385679</v>
      </c>
    </row>
    <row r="9" spans="1:2" x14ac:dyDescent="0.25">
      <c r="A9" t="s">
        <v>60</v>
      </c>
      <c r="B9" s="18">
        <f>B8*(1+Assumptions!B12)/(Assumptions!B26-Assumptions!B12)</f>
        <v>74526357926.33794</v>
      </c>
    </row>
    <row r="10" spans="1:2" x14ac:dyDescent="0.25">
      <c r="A10" t="s">
        <v>61</v>
      </c>
      <c r="B10" s="18">
        <f>B9/(1+Assumptions!B26)^(5-0.5*Assumptions!B32)</f>
        <v>53348472430.12622</v>
      </c>
    </row>
    <row r="11" spans="1:2" x14ac:dyDescent="0.25">
      <c r="A11" t="s">
        <v>62</v>
      </c>
      <c r="B11" s="18">
        <f>Forecast!B17+B10</f>
        <v>79391459181.6106</v>
      </c>
    </row>
    <row r="12" spans="1:2" x14ac:dyDescent="0.25">
      <c r="A12" t="s">
        <v>63</v>
      </c>
      <c r="B12" s="18">
        <f>-Assumptions!B30</f>
        <v>-30686000000</v>
      </c>
    </row>
    <row r="13" spans="1:2" x14ac:dyDescent="0.25">
      <c r="A13" t="s">
        <v>64</v>
      </c>
      <c r="B13" s="18">
        <f>B11+B12</f>
        <v>48705459181.610596</v>
      </c>
    </row>
    <row r="14" spans="1:2" x14ac:dyDescent="0.25">
      <c r="A14" s="19" t="s">
        <v>65</v>
      </c>
      <c r="B14" s="24">
        <f>B13/Assumptions!B31</f>
        <v>159.16816726016535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7397062648.361734</v>
      </c>
    </row>
    <row r="18" spans="1:2" x14ac:dyDescent="0.25">
      <c r="A18" t="s">
        <v>60</v>
      </c>
      <c r="B18" s="18">
        <f>B17*Assumptions!B13</f>
        <v>123029286208.02675</v>
      </c>
    </row>
    <row r="19" spans="1:2" x14ac:dyDescent="0.25">
      <c r="A19" t="s">
        <v>61</v>
      </c>
      <c r="B19" s="18">
        <f>B18/(1+Assumptions!B26)^(5-0.5*Assumptions!B32)</f>
        <v>88068499065.18082</v>
      </c>
    </row>
    <row r="20" spans="1:2" x14ac:dyDescent="0.25">
      <c r="A20" t="s">
        <v>62</v>
      </c>
      <c r="B20" s="18">
        <f>Forecast!B17+B19</f>
        <v>114111485816.66519</v>
      </c>
    </row>
    <row r="21" spans="1:2" x14ac:dyDescent="0.25">
      <c r="A21" t="s">
        <v>63</v>
      </c>
      <c r="B21" s="18">
        <f>-Assumptions!B30</f>
        <v>-30686000000</v>
      </c>
    </row>
    <row r="22" spans="1:2" x14ac:dyDescent="0.25">
      <c r="A22" t="s">
        <v>64</v>
      </c>
      <c r="B22" s="18">
        <f>B20+B21</f>
        <v>83425485816.66519</v>
      </c>
    </row>
    <row r="23" spans="1:2" x14ac:dyDescent="0.25">
      <c r="A23" s="19" t="s">
        <v>65</v>
      </c>
      <c r="B23" s="25">
        <f>B22/Assumptions!B31</f>
        <v>272.63230659040914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424.89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159.16816726016535</v>
      </c>
    </row>
    <row r="29" spans="1:2" x14ac:dyDescent="0.25">
      <c r="A29" s="19" t="s">
        <v>73</v>
      </c>
      <c r="B29" s="12">
        <f>B28/B26-1</f>
        <v>-0.6253897073120918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0.05712</v>
      </c>
      <c r="B5" s="31">
        <v>239.83775810875568</v>
      </c>
      <c r="C5" s="31">
        <v>264.2618908615282</v>
      </c>
      <c r="D5" s="31">
        <v>296.16708611782065</v>
      </c>
      <c r="E5" s="31">
        <v>339.69109968710205</v>
      </c>
      <c r="F5" s="31">
        <v>402.71287707998874</v>
      </c>
    </row>
    <row r="6" spans="1:6" x14ac:dyDescent="0.25">
      <c r="A6" s="30">
        <v>0.06712</v>
      </c>
      <c r="B6" s="31">
        <v>181.3524960071775</v>
      </c>
      <c r="C6" s="31">
        <v>194.8878921626368</v>
      </c>
      <c r="D6" s="31">
        <v>211.54693989709253</v>
      </c>
      <c r="E6" s="31">
        <v>232.59189065679877</v>
      </c>
      <c r="F6" s="31">
        <v>260.07095569265067</v>
      </c>
    </row>
    <row r="7" spans="1:6" x14ac:dyDescent="0.25">
      <c r="A7" s="30">
        <v>0.07712</v>
      </c>
      <c r="B7" s="31">
        <v>141.53768729795698</v>
      </c>
      <c r="C7" s="31">
        <v>149.61253301500423</v>
      </c>
      <c r="D7" s="32">
        <v>159.16700866143032</v>
      </c>
      <c r="E7" s="31">
        <v>170.67213395159618</v>
      </c>
      <c r="F7" s="31">
        <v>184.8225846845545</v>
      </c>
    </row>
    <row r="8" spans="1:6" x14ac:dyDescent="0.25">
      <c r="A8" s="30">
        <v>0.08712</v>
      </c>
      <c r="B8" s="31">
        <v>112.63370524463917</v>
      </c>
      <c r="C8" s="31">
        <v>117.67284926238348</v>
      </c>
      <c r="D8" s="31">
        <v>123.46713107646723</v>
      </c>
      <c r="E8" s="31">
        <v>130.21485367962677</v>
      </c>
      <c r="F8" s="31">
        <v>138.1904148430849</v>
      </c>
    </row>
    <row r="9" spans="1:6" x14ac:dyDescent="0.25">
      <c r="A9" s="30">
        <v>0.09712</v>
      </c>
      <c r="B9" s="31">
        <v>90.66021137272544</v>
      </c>
      <c r="C9" s="31">
        <v>93.88788862587325</v>
      </c>
      <c r="D9" s="31">
        <v>97.51677306304016</v>
      </c>
      <c r="E9" s="31">
        <v>101.63652659960592</v>
      </c>
      <c r="F9" s="31">
        <v>106.36567847721541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132699000000</v>
      </c>
      <c r="C5" s="18">
        <v>138864000000</v>
      </c>
      <c r="D5" s="18">
        <v>148379000000</v>
      </c>
      <c r="E5" s="18">
        <v>177453000000</v>
      </c>
      <c r="F5" s="8" t="s">
        <v>84</v>
      </c>
    </row>
    <row r="6" spans="1:6" x14ac:dyDescent="0.25">
      <c r="A6" t="s">
        <v>44</v>
      </c>
      <c r="B6" s="18">
        <v>5768000000</v>
      </c>
      <c r="C6" s="18">
        <v>5248000000</v>
      </c>
      <c r="D6" s="18">
        <v>12586000000</v>
      </c>
      <c r="E6" s="18">
        <v>18970000000</v>
      </c>
      <c r="F6" s="8" t="s">
        <v>85</v>
      </c>
    </row>
    <row r="7" spans="1:6" x14ac:dyDescent="0.25">
      <c r="A7" t="s">
        <v>86</v>
      </c>
      <c r="B7" s="18">
        <v>3251000000</v>
      </c>
      <c r="C7" s="18">
        <v>3337000000</v>
      </c>
      <c r="D7" s="18">
        <v>3307000000</v>
      </c>
      <c r="E7" s="18">
        <v>3215000000</v>
      </c>
      <c r="F7" s="8" t="s">
        <v>87</v>
      </c>
    </row>
    <row r="8" spans="1:6" x14ac:dyDescent="0.25">
      <c r="A8" t="s">
        <v>88</v>
      </c>
      <c r="B8" s="18">
        <v>3486000000</v>
      </c>
      <c r="C8" s="18">
        <v>2533000000</v>
      </c>
      <c r="D8" s="18">
        <v>1890000000</v>
      </c>
      <c r="E8" s="18">
        <v>2420000000</v>
      </c>
      <c r="F8" s="8" t="s">
        <v>89</v>
      </c>
    </row>
    <row r="9" spans="1:6" x14ac:dyDescent="0.25">
      <c r="A9" t="s">
        <v>90</v>
      </c>
      <c r="B9" s="18">
        <v>469000000</v>
      </c>
      <c r="C9" s="18">
        <v>-399000000</v>
      </c>
      <c r="D9" s="18">
        <v>-295000000</v>
      </c>
      <c r="E9" s="18">
        <v>1673000000</v>
      </c>
      <c r="F9" s="8" t="s">
        <v>91</v>
      </c>
    </row>
    <row r="10" spans="1:6" x14ac:dyDescent="0.25">
      <c r="A10" t="s">
        <v>92</v>
      </c>
      <c r="B10" s="18">
        <v>34358000000</v>
      </c>
      <c r="C10" s="18">
        <v>28758000000</v>
      </c>
      <c r="D10" s="18">
        <v>28501000000</v>
      </c>
      <c r="E10" s="18">
        <v>27909000000</v>
      </c>
      <c r="F10" s="8" t="s">
        <v>93</v>
      </c>
    </row>
    <row r="11" spans="1:6" x14ac:dyDescent="0.25">
      <c r="A11" t="s">
        <v>94</v>
      </c>
      <c r="B11" s="18">
        <v>3672000000</v>
      </c>
      <c r="C11" s="18">
        <v>3210000000</v>
      </c>
      <c r="D11" s="18">
        <v>10224000000</v>
      </c>
      <c r="E11" s="18">
        <v>11770000000</v>
      </c>
      <c r="F11" s="8" t="s">
        <v>95</v>
      </c>
    </row>
    <row r="12" spans="1:6" x14ac:dyDescent="0.25">
      <c r="A12" t="s">
        <v>32</v>
      </c>
      <c r="B12" s="34">
        <v>306000000</v>
      </c>
      <c r="C12" s="34">
        <v>341000000</v>
      </c>
      <c r="D12" s="34">
        <v>409000000</v>
      </c>
      <c r="E12" s="34">
        <v>516000000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2026-09-19T00:06:21Z</dcterms:modified>
</cp:coreProperties>
</file>