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<sst xmlns="http://schemas.openxmlformats.org/spreadsheetml/2006/main" count="121" uniqueCount="108">
  <si>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Monolithic Power Systems, Inc. (MPWR)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</si>
  <si>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</si>
  <si>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</si>
  <si>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</si>
  <si>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</si>
  <si>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</si>
  <si>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</si>
  <si>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</si>
  <si>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</si>
  <si>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</si>
  <si>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</si>
  <si>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</si>
  <si>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</si>
  <si>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</si>
  <si>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</si>
  <si>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</si>
  <si>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</si>
  <si>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</si>
  <si>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</si>
  <si>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</si>
  <si>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</si>
  <si>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</si>
  <si>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</si>
  <si>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</si>
  <si>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</si>
  <si>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</si>
  <si>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</si>
  <si>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</si>
  <si>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</si>
  <si>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</si>
  <si>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</si>
  <si>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</si>
  <si>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</si>
  <si>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</si>
  <si>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</si>
  <si>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</si>
  <si>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</si>
  <si>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</si>
  <si>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</si>
  <si>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</si>
  <si>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</si>
  <si>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</si>
  <si>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</si>
  <si>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</si>
  <si>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</si>
  <si>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</si>
  <si>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</si>
  <si>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</si>
  <si>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</si>
  <si>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</si>
  <si>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</si>
  <si>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</si>
  <si>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</si>
  <si>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</si>
  <si>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</si>
  <si>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</si>
  <si>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</si>
  <si>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</si>
  <si>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</si>
  <si>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</si>
  <si>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</si>
  <si>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</si>
  <si>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</si>
  <si>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</si>
  <si>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</si>
  <si>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</si>
  <si>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</si>
  <si>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</si>
  <si>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</si>
  <si>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</si>
  <si>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</si>
  <si>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</si>
  <si>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</si>
  <si>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</si>
  <si>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</si>
  <si>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</si>
  <si>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</si>
  <si>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</si>
  <si>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</si>
  <si>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</si>
  <si>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</si>
  <si>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</si>
  <si>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</si>
  <si>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</si>
  <si>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</si>
  <si>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</si>
  <si>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</si>
  <si>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</si>
  <si>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</si>
  <si>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</si>
  <si>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</si>
  <si>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</si>
  <si>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</si>
  <si>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</si>
  <si>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</si>
  <si>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</si>
  <si>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</si>
  <si>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</si>
  <si>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</si>
  <si>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</si>
  <si>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</si>
  <si>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</si>
  <si>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</si>
  <si>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</si>
  <si>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</si>
  <si>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5.0% of revenue against depreciation of 2.0%.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</si>
  <si>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74.1x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</si>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</sst>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0.26590954049691407</v>
      </c>
    </row>
    <row r="8" spans="1:2" x14ac:dyDescent="0.25">
      <c r="A8" t="s">
        <v>5</v>
      </c>
      <c r="B8" s="5">
        <v>0.16623899629860345</v>
      </c>
    </row>
    <row r="9" spans="1:2" x14ac:dyDescent="0.25">
      <c r="A9" t="s">
        <v>6</v>
      </c>
      <c r="B9" s="5">
        <v>0.019517017354622083</v>
      </c>
    </row>
    <row r="10" spans="1:3" x14ac:dyDescent="0.25">
      <c r="A10" t="s">
        <v>7</v>
      </c>
      <c r="B10" s="5">
        <v>0.050386445055400214</v>
      </c>
      <c r="C10" s="6" t="s">
        <v>8</v>
      </c>
    </row>
    <row r="11" spans="1:2" x14ac:dyDescent="0.25">
      <c r="A11" t="s">
        <v>9</v>
      </c>
      <c r="B11" s="5">
        <v>0.2596497196956147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0.1839798416142119</v>
      </c>
      <c r="C14" s="6" t="s">
        <v>13</v>
      </c>
    </row>
    <row r="15" spans="1:3" x14ac:dyDescent="0.25">
      <c r="A15" t="s">
        <v>14</v>
      </c>
      <c r="B15" s="5">
        <v>0.019517017354622083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1.45627</v>
      </c>
      <c r="C19" s="6" t="s">
        <v>21</v>
      </c>
    </row>
    <row r="20" spans="1:2" x14ac:dyDescent="0.25">
      <c r="A20" t="s">
        <v>22</v>
      </c>
      <c r="B20" s="9">
        <f>B17+B19*B18</f>
        <v>0.110540221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59117850624</v>
      </c>
    </row>
    <row r="23" spans="1:2" x14ac:dyDescent="0.25">
      <c r="A23" t="s">
        <v>26</v>
      </c>
      <c r="B23" s="10">
        <v>19972000</v>
      </c>
    </row>
    <row r="24" spans="1:2" x14ac:dyDescent="0.25">
      <c r="A24" t="s">
        <v>27</v>
      </c>
      <c r="B24" s="9">
        <f>B22/(B22+B23)</f>
        <v>0.9996622804304619</v>
      </c>
    </row>
    <row r="25" spans="1:2" x14ac:dyDescent="0.25">
      <c r="A25" t="s">
        <v>28</v>
      </c>
      <c r="B25" s="9">
        <f>1-B24</f>
        <v>0.00033771956953809745</v>
      </c>
    </row>
    <row r="26" spans="1:2" x14ac:dyDescent="0.25">
      <c r="A26" t="s">
        <v>29</v>
      </c>
      <c r="B26" s="11">
        <f>B24*B20+B25*B21*(1-B8)</f>
        <v>0.11052230135060426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2790459000</v>
      </c>
      <c r="C29" s="6" t="s">
        <v>32</v>
      </c>
    </row>
    <row r="30" spans="1:2" x14ac:dyDescent="0.25">
      <c r="A30" t="s">
        <v>33</v>
      </c>
      <c r="B30" s="10">
        <v>-1236573000</v>
      </c>
    </row>
    <row r="31" spans="1:2" x14ac:dyDescent="0.25">
      <c r="A31" t="s">
        <v>34</v>
      </c>
      <c r="B31" s="12">
        <v>48309000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0.48200736811308875</v>
      </c>
      <c r="D5" s="5">
        <v>0.42488144709895265</v>
      </c>
      <c r="E5" s="5">
        <v>0.36775552608481654</v>
      </c>
      <c r="F5" s="5">
        <v>0.3106296050706805</v>
      </c>
      <c r="G5" s="5">
        <v>0.2535036840565444</v>
      </c>
      <c r="H5" s="5">
        <v>0.19637776304240828</v>
      </c>
      <c r="I5" s="5">
        <v>0.13925184202827223</v>
      </c>
      <c r="J5" s="5">
        <v>0.08212592101413613</v>
      </c>
      <c r="K5" s="5">
        <v>0.025000000000000022</v>
      </c>
    </row>
    <row r="6" spans="1:11" x14ac:dyDescent="0.25">
      <c r="A6" t="s">
        <v>50</v>
      </c>
      <c r="B6" s="18">
        <f>Assumptions!B29*(1+B5)</f>
        <v>4185688500</v>
      </c>
      <c r="C6" s="18">
        <f>B6*(1+C5)</f>
        <v>6203221197.626223</v>
      </c>
      <c r="D6" s="18">
        <f>C6*(1+D5)</f>
        <v>8838854796.74855</v>
      </c>
      <c r="E6" s="18">
        <f>D6*(1+E5)</f>
        <v>12089392492.514116</v>
      </c>
      <c r="F6" s="18">
        <f>E6*(1+F5)</f>
        <v>15844715708.008226</v>
      </c>
      <c r="G6" s="18">
        <f>F6*(1+G5)</f>
        <v>19861409512.81691</v>
      </c>
      <c r="H6" s="18">
        <f>G6*(1+H5)</f>
        <v>23761748683.813107</v>
      </c>
      <c r="I6" s="18">
        <f>H6*(1+I5)</f>
        <v>27070615957.846954</v>
      </c>
      <c r="J6" s="18">
        <f>I6*(1+J5)</f>
        <v>29293815225.805103</v>
      </c>
      <c r="K6" s="18">
        <f>J6*(1+K5)</f>
        <v>30026160606.45023</v>
      </c>
    </row>
    <row r="7" spans="1:11" x14ac:dyDescent="0.25">
      <c r="A7" t="s">
        <v>4</v>
      </c>
      <c r="B7" s="9">
        <f>Assumptions!B7</f>
        <v>0.26590954049691407</v>
      </c>
      <c r="C7" s="9">
        <f>Assumptions!B7</f>
        <v>0.26590954049691407</v>
      </c>
      <c r="D7" s="9">
        <f>Assumptions!B7</f>
        <v>0.26590954049691407</v>
      </c>
      <c r="E7" s="9">
        <f>Assumptions!B7</f>
        <v>0.26590954049691407</v>
      </c>
      <c r="F7" s="9">
        <f>Assumptions!B7</f>
        <v>0.26590954049691407</v>
      </c>
      <c r="G7" s="9">
        <f>Assumptions!B7</f>
        <v>0.26590954049691407</v>
      </c>
      <c r="H7" s="9">
        <f>Assumptions!B7</f>
        <v>0.26590954049691407</v>
      </c>
      <c r="I7" s="9">
        <f>Assumptions!B7</f>
        <v>0.26590954049691407</v>
      </c>
      <c r="J7" s="9">
        <f>Assumptions!B7</f>
        <v>0.26590954049691407</v>
      </c>
      <c r="K7" s="9">
        <f>Assumptions!B7</f>
        <v>0.26590954049691407</v>
      </c>
    </row>
    <row r="8" spans="1:11" x14ac:dyDescent="0.25">
      <c r="A8" t="s">
        <v>51</v>
      </c>
      <c r="B8" s="18">
        <f>B6*B7</f>
        <v>1113014505.6982174</v>
      </c>
      <c r="C8" s="18">
        <f>C6*C7</f>
        <v>1649495698.2615058</v>
      </c>
      <c r="D8" s="18">
        <f>D6*D7</f>
        <v>2350335817.5223517</v>
      </c>
      <c r="E8" s="18">
        <f>E6*E7</f>
        <v>3214684802.5712714</v>
      </c>
      <c r="F8" s="18">
        <f>F6*F7</f>
        <v>4213261073.220704</v>
      </c>
      <c r="G8" s="18">
        <f>G6*G7</f>
        <v>5281338277.174182</v>
      </c>
      <c r="H8" s="18">
        <f>H6*H7</f>
        <v>6318475673.915895</v>
      </c>
      <c r="I8" s="18">
        <f>I6*I7</f>
        <v>7198335050.319513</v>
      </c>
      <c r="J8" s="18">
        <f>J6*J7</f>
        <v>7789504946.09534</v>
      </c>
      <c r="K8" s="18">
        <f>K6*K7</f>
        <v>7984242569.747724</v>
      </c>
    </row>
    <row r="9" spans="1:11" x14ac:dyDescent="0.25">
      <c r="A9" t="s">
        <v>52</v>
      </c>
      <c r="B9" s="18">
        <f>B8*(1-Assumptions!B8)</f>
        <v>927988091.4051595</v>
      </c>
      <c r="C9" s="18">
        <f>C8*(1-Assumptions!B8)</f>
        <v>1375285188.983649</v>
      </c>
      <c r="D9" s="18">
        <f>D8*(1-Assumptions!B8)</f>
        <v>1959618350.2527783</v>
      </c>
      <c r="E9" s="18">
        <f>E8*(1-Assumptions!B8)</f>
        <v>2680278827.575449</v>
      </c>
      <c r="F9" s="18">
        <f>F8*(1-Assumptions!B8)</f>
        <v>3512852781.2645173</v>
      </c>
      <c r="G9" s="18">
        <f>G8*(1-Assumptions!B8)</f>
        <v>4403373902.86335</v>
      </c>
      <c r="H9" s="18">
        <f>H8*(1-Assumptions!B8)</f>
        <v>5268098619.746975</v>
      </c>
      <c r="I9" s="18">
        <f>I8*(1-Assumptions!B8)</f>
        <v>6001691056.5333395</v>
      </c>
      <c r="J9" s="18">
        <f>J8*(1-Assumptions!B8)</f>
        <v>6494585462.193443</v>
      </c>
      <c r="K9" s="18">
        <f>K8*(1-Assumptions!B8)</f>
        <v>6656950098.74828</v>
      </c>
    </row>
    <row r="10" spans="1:11" x14ac:dyDescent="0.25">
      <c r="A10" t="s">
        <v>53</v>
      </c>
      <c r="B10" s="18">
        <f>B6*Assumptions!B9</f>
        <v>81692155.09554207</v>
      </c>
      <c r="C10" s="18">
        <f>C6*Assumptions!B9</f>
        <v>121068375.76863056</v>
      </c>
      <c r="D10" s="18">
        <f>D6*Assumptions!B9</f>
        <v>172508082.4631261</v>
      </c>
      <c r="E10" s="18">
        <f>E6*Assumptions!B9</f>
        <v>235948883.08323592</v>
      </c>
      <c r="F10" s="18">
        <f>F6*Assumptions!B9</f>
        <v>309241591.4522497</v>
      </c>
      <c r="G10" s="18">
        <f>G6*Assumptions!B9</f>
        <v>387635474.1489037</v>
      </c>
      <c r="H10" s="18">
        <f>H6*Assumptions!B9</f>
        <v>463758461.43814886</v>
      </c>
      <c r="I10" s="18">
        <f>I6*Assumptions!B9</f>
        <v>528337681.4496085</v>
      </c>
      <c r="J10" s="18">
        <f>J6*Assumptions!B9</f>
        <v>571727900.1451308</v>
      </c>
      <c r="K10" s="18">
        <f>K6*Assumptions!B9</f>
        <v>586021097.648759</v>
      </c>
    </row>
    <row r="11" spans="1:11" x14ac:dyDescent="0.25">
      <c r="A11" t="s">
        <v>54</v>
      </c>
      <c r="B11" s="18">
        <f>-B6*B19</f>
        <v>-210901963.62427053</v>
      </c>
      <c r="C11" s="18">
        <f>-C6*C19</f>
        <v>-312046040.29620713</v>
      </c>
      <c r="D11" s="18">
        <f>-D6*D19</f>
        <v>-443898755.348484</v>
      </c>
      <c r="E11" s="18">
        <f>-E6*E19</f>
        <v>-606146708.1864761</v>
      </c>
      <c r="F11" s="18">
        <f>-F6*F19</f>
        <v>-793125461.8737813</v>
      </c>
      <c r="G11" s="18">
        <f>-G6*G19</f>
        <v>-992545655.6872035</v>
      </c>
      <c r="H11" s="18">
        <f>-H6*H19</f>
        <v>-1185497452.626785</v>
      </c>
      <c r="I11" s="18">
        <f>-I6*I19</f>
        <v>-1348344832.1330547</v>
      </c>
      <c r="J11" s="18">
        <f>-J6*J19</f>
        <v>-1456659990.7421408</v>
      </c>
      <c r="K11" s="18">
        <f>-K6*K19</f>
        <v>-1490597115.37184</v>
      </c>
    </row>
    <row r="12" spans="1:11" x14ac:dyDescent="0.25">
      <c r="A12" t="s">
        <v>55</v>
      </c>
      <c r="B12" s="18">
        <f>-(B6-Assumptions!B29)*Assumptions!B11</f>
        <v>-362270948.5860526</v>
      </c>
      <c r="C12" s="18">
        <f>-(C6-B6)*Assumptions!B11</f>
        <v>-523851799.415386</v>
      </c>
      <c r="D12" s="18">
        <f>-(D6-C6)*Assumptions!B11</f>
        <v>-684341525.2324564</v>
      </c>
      <c r="E12" s="18">
        <f>-(E6-D6)*Assumptions!B11</f>
        <v>-844001201.5655584</v>
      </c>
      <c r="F12" s="18">
        <f>-(F6-E6)*Assumptions!B11</f>
        <v>-975068620.2694801</v>
      </c>
      <c r="G12" s="18">
        <f>-(G6-F6)*Assumptions!B11</f>
        <v>-1042933420.5216867</v>
      </c>
      <c r="H12" s="18">
        <f>-(H6-G6)*Assumptions!B11</f>
        <v>-1012721972.4669886</v>
      </c>
      <c r="I12" s="18">
        <f>-(I6-H6)*Assumptions!B11</f>
        <v>-859146460.2128812</v>
      </c>
      <c r="J12" s="18">
        <f>-(J6-I6)*Assumptions!B11</f>
        <v>-577253066.7528291</v>
      </c>
      <c r="K12" s="18">
        <f>-(K6-J6)*Assumptions!B11</f>
        <v>-190153272.8048853</v>
      </c>
    </row>
    <row r="13" spans="1:11" x14ac:dyDescent="0.25">
      <c r="A13" s="19" t="s">
        <v>56</v>
      </c>
      <c r="B13" s="20">
        <f>B9+B10+B11+B12</f>
        <v>436507334.2903784</v>
      </c>
      <c r="C13" s="20">
        <f>C9+C10+C11+C12</f>
        <v>660455725.0406864</v>
      </c>
      <c r="D13" s="20">
        <f>D9+D10+D11+D12</f>
        <v>1003886152.134964</v>
      </c>
      <c r="E13" s="20">
        <f>E9+E10+E11+E12</f>
        <v>1466079800.90665</v>
      </c>
      <c r="F13" s="20">
        <f>F9+F10+F11+F12</f>
        <v>2053900290.5735054</v>
      </c>
      <c r="G13" s="20">
        <f>G9+G10+G11+G12</f>
        <v>2755530300.803364</v>
      </c>
      <c r="H13" s="20">
        <f>H9+H10+H11+H12</f>
        <v>3533637656.0913496</v>
      </c>
      <c r="I13" s="20">
        <f>I9+I10+I11+I12</f>
        <v>4322537445.6370125</v>
      </c>
      <c r="J13" s="20">
        <f>J9+J10+J11+J12</f>
        <v>5032400304.843605</v>
      </c>
      <c r="K13" s="20">
        <f>K9+K10+K11+K12</f>
        <v>5562220808.220313</v>
      </c>
    </row>
    <row r="14" spans="1:11" x14ac:dyDescent="0.25">
      <c r="A14" t="s">
        <v>57</v>
      </c>
      <c r="B14" s="21">
        <f>1/(1+Assumptions!$B$26)^(1-0.5*Assumptions!$B$32)</f>
        <v>0.9489347652932111</v>
      </c>
      <c r="C14" s="21">
        <f>1/(1+Assumptions!$B$26)^(2-0.5*Assumptions!$B$32)</f>
        <v>0.8544941097888153</v>
      </c>
      <c r="D14" s="21">
        <f>1/(1+Assumptions!$B$26)^(3-0.5*Assumptions!$B$32)</f>
        <v>0.76945245381348</v>
      </c>
      <c r="E14" s="21">
        <f>1/(1+Assumptions!$B$26)^(4-0.5*Assumptions!$B$32)</f>
        <v>0.6928743825114372</v>
      </c>
      <c r="F14" s="21">
        <f>1/(1+Assumptions!$B$26)^(5-0.5*Assumptions!$B$32)</f>
        <v>0.6239175761430198</v>
      </c>
      <c r="G14" s="21">
        <f>1/(1+Assumptions!$B$26)^(6-0.5*Assumptions!$B$32)</f>
        <v>0.5618235449969969</v>
      </c>
      <c r="H14" s="21">
        <f>1/(1+Assumptions!$B$26)^(7-0.5*Assumptions!$B$32)</f>
        <v>0.5059092863904792</v>
      </c>
      <c r="I14" s="21">
        <f>1/(1+Assumptions!$B$26)^(8-0.5*Assumptions!$B$32)</f>
        <v>0.4555597719876478</v>
      </c>
      <c r="J14" s="21">
        <f>1/(1+Assumptions!$B$26)^(9-0.5*Assumptions!$B$32)</f>
        <v>0.4102211828016433</v>
      </c>
      <c r="K14" s="21">
        <f>1/(1+Assumptions!$B$26)^(10-0.5*Assumptions!$B$32)</f>
        <v>0.3693948174680842</v>
      </c>
    </row>
    <row r="15" spans="1:11" x14ac:dyDescent="0.25">
      <c r="A15" s="19" t="s">
        <v>58</v>
      </c>
      <c r="B15" s="20">
        <f>B13*B14</f>
        <v>414216984.8136054</v>
      </c>
      <c r="C15" s="20">
        <f>C13*C14</f>
        <v>564355526.8235679</v>
      </c>
      <c r="D15" s="20">
        <f>D13*D14</f>
        <v>772442663.1096206</v>
      </c>
      <c r="E15" s="20">
        <f>E13*E14</f>
        <v>1015809136.7656859</v>
      </c>
      <c r="F15" s="20">
        <f>F13*F14</f>
        <v>1281464490.9340656</v>
      </c>
      <c r="G15" s="20">
        <f>G13*G14</f>
        <v>1548121801.9439871</v>
      </c>
      <c r="H15" s="20">
        <f>H13*H14</f>
        <v>1787700104.9557002</v>
      </c>
      <c r="I15" s="20">
        <f>I13*I14</f>
        <v>1969174173.142467</v>
      </c>
      <c r="J15" s="20">
        <f>J13*J14</f>
        <v>2064397205.384294</v>
      </c>
      <c r="K15" s="20">
        <f>K13*K14</f>
        <v>2054655540.1697226</v>
      </c>
    </row>
    <row r="17" spans="1:2" x14ac:dyDescent="0.25">
      <c r="A17" s="22" t="s">
        <v>59</v>
      </c>
      <c r="B17" s="23">
        <f>SUM(B15:K15)</f>
        <v>13472337628.042717</v>
      </c>
    </row>
    <row r="19" spans="1:11" x14ac:dyDescent="0.25">
      <c r="A19" t="s">
        <v>7</v>
      </c>
      <c r="B19" s="9">
        <f>Assumptions!$B$10+($B$20-Assumptions!$B$10)*0/9</f>
        <v>0.050386445055400214</v>
      </c>
      <c r="C19" s="9">
        <f>Assumptions!$B$10+($B$20-Assumptions!$B$10)*1/9</f>
        <v>0.05030387122348907</v>
      </c>
      <c r="D19" s="9">
        <f>Assumptions!$B$10+($B$20-Assumptions!$B$10)*2/9</f>
        <v>0.05022129739157792</v>
      </c>
      <c r="E19" s="9">
        <f>Assumptions!$B$10+($B$20-Assumptions!$B$10)*3/9</f>
        <v>0.050138723559666774</v>
      </c>
      <c r="F19" s="9">
        <f>Assumptions!$B$10+($B$20-Assumptions!$B$10)*4/9</f>
        <v>0.05005614972775563</v>
      </c>
      <c r="G19" s="9">
        <f>Assumptions!$B$10+($B$20-Assumptions!$B$10)*5/9</f>
        <v>0.04997357589584449</v>
      </c>
      <c r="H19" s="9">
        <f>Assumptions!$B$10+($B$20-Assumptions!$B$10)*6/9</f>
        <v>0.04989100206393334</v>
      </c>
      <c r="I19" s="9">
        <f>Assumptions!$B$10+($B$20-Assumptions!$B$10)*7/9</f>
        <v>0.049808428232022195</v>
      </c>
      <c r="J19" s="9">
        <f>Assumptions!$B$10+($B$20-Assumptions!$B$10)*8/9</f>
        <v>0.04972585440011105</v>
      </c>
      <c r="K19" s="9">
        <f>Assumptions!$B$10+($B$20-Assumptions!$B$10)*9/9</f>
        <v>0.0496432805681999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0.0496432805681999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5562220808.220313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6656950098.74828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0.13588445223484105</v>
      </c>
    </row>
    <row r="7" spans="1:2" x14ac:dyDescent="0.25">
      <c r="A7" t="s">
        <v>66</v>
      </c>
      <c r="B7" s="18">
        <f>-MAX(B5,0)*B6</f>
        <v>-904576017.723081</v>
      </c>
    </row>
    <row r="8" spans="1:2" x14ac:dyDescent="0.25">
      <c r="A8" t="s">
        <v>67</v>
      </c>
      <c r="B8" s="18">
        <f>IF(OR(Assumptions!$B$33=0,Assumptions!B12&lt;=0),B5,MAX(B5+B7,0))</f>
        <v>5752374081.025199</v>
      </c>
    </row>
    <row r="9" spans="1:2" x14ac:dyDescent="0.25">
      <c r="A9" t="s">
        <v>68</v>
      </c>
      <c r="B9" s="18">
        <f>B8*(1+Assumptions!B12)/(Assumptions!B26-Assumptions!B12)</f>
        <v>68943226970.46048</v>
      </c>
    </row>
    <row r="10" spans="1:2" x14ac:dyDescent="0.25">
      <c r="A10" t="s">
        <v>69</v>
      </c>
      <c r="B10" s="18">
        <f>B9/(1+Assumptions!B26)^(10-0.5*Assumptions!B32)</f>
        <v>25467270742.41395</v>
      </c>
    </row>
    <row r="11" spans="1:2" x14ac:dyDescent="0.25">
      <c r="A11" t="s">
        <v>70</v>
      </c>
      <c r="B11" s="18">
        <f>Forecast!B17+B10</f>
        <v>38939608370.456665</v>
      </c>
    </row>
    <row r="12" spans="1:2" x14ac:dyDescent="0.25">
      <c r="A12" t="s">
        <v>71</v>
      </c>
      <c r="B12" s="18">
        <f>-Assumptions!B30</f>
        <v>1236573000</v>
      </c>
    </row>
    <row r="13" spans="1:2" x14ac:dyDescent="0.25">
      <c r="A13" t="s">
        <v>72</v>
      </c>
      <c r="B13" s="18">
        <f>B11+B12</f>
        <v>40176181370.456665</v>
      </c>
    </row>
    <row r="14" spans="1:2" x14ac:dyDescent="0.25">
      <c r="A14" s="19" t="s">
        <v>73</v>
      </c>
      <c r="B14" s="24">
        <f>B13/Assumptions!B31</f>
        <v>831.6500314735695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8570263667.396482</v>
      </c>
    </row>
    <row r="18" spans="1:2" x14ac:dyDescent="0.25">
      <c r="A18" t="s">
        <v>68</v>
      </c>
      <c r="B18" s="18">
        <f>B17*Assumptions!B13</f>
        <v>171405273347.92966</v>
      </c>
    </row>
    <row r="19" spans="1:2" x14ac:dyDescent="0.25">
      <c r="A19" t="s">
        <v>69</v>
      </c>
      <c r="B19" s="18">
        <f>B18/(1+Assumptions!B26)^(10-0.5*Assumptions!B32)</f>
        <v>63316219661.42556</v>
      </c>
    </row>
    <row r="20" spans="1:2" x14ac:dyDescent="0.25">
      <c r="A20" t="s">
        <v>70</v>
      </c>
      <c r="B20" s="18">
        <f>Forecast!B17+B19</f>
        <v>76788557289.46828</v>
      </c>
    </row>
    <row r="21" spans="1:2" x14ac:dyDescent="0.25">
      <c r="A21" t="s">
        <v>71</v>
      </c>
      <c r="B21" s="18">
        <f>-Assumptions!B30</f>
        <v>1236573000</v>
      </c>
    </row>
    <row r="22" spans="1:2" x14ac:dyDescent="0.25">
      <c r="A22" t="s">
        <v>72</v>
      </c>
      <c r="B22" s="18">
        <f>B20+B21</f>
        <v>78025130289.46828</v>
      </c>
    </row>
    <row r="23" spans="1:2" x14ac:dyDescent="0.25">
      <c r="A23" s="19" t="s">
        <v>73</v>
      </c>
      <c r="B23" s="25">
        <f>B22/Assumptions!B31</f>
        <v>1615.1261729588332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1211.63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831.6500314735695</v>
      </c>
    </row>
    <row r="29" spans="1:2" x14ac:dyDescent="0.25">
      <c r="A29" s="19" t="s">
        <v>81</v>
      </c>
      <c r="B29" s="11">
        <f>B28/B26-1</f>
        <v>-0.3136105647156563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0.090522</v>
      </c>
      <c r="B5" s="31">
        <v>1100.7060775129705</v>
      </c>
      <c r="C5" s="31">
        <v>1126.0232917719504</v>
      </c>
      <c r="D5" s="31">
        <v>1156.1420935504802</v>
      </c>
      <c r="E5" s="31">
        <v>1192.252526349986</v>
      </c>
      <c r="F5" s="31">
        <v>1235.9733082518514</v>
      </c>
    </row>
    <row r="6" spans="1:6" x14ac:dyDescent="0.25">
      <c r="A6" s="30">
        <v>0.100522</v>
      </c>
      <c r="B6" s="31">
        <v>940.042163871217</v>
      </c>
      <c r="C6" s="31">
        <v>954.3592512552393</v>
      </c>
      <c r="D6" s="31">
        <v>971.3386514834468</v>
      </c>
      <c r="E6" s="31">
        <v>991.5466373879029</v>
      </c>
      <c r="F6" s="31">
        <v>1015.7223314792717</v>
      </c>
    </row>
    <row r="7" spans="1:6" x14ac:dyDescent="0.25">
      <c r="A7" s="30">
        <v>0.110522</v>
      </c>
      <c r="B7" s="31">
        <v>814.9445462472664</v>
      </c>
      <c r="C7" s="31">
        <v>822.5361086739368</v>
      </c>
      <c r="D7" s="32">
        <v>831.6537214718153</v>
      </c>
      <c r="E7" s="31">
        <v>842.5816641616303</v>
      </c>
      <c r="F7" s="31">
        <v>855.6795001603871</v>
      </c>
    </row>
    <row r="8" spans="1:6" x14ac:dyDescent="0.25">
      <c r="A8" s="30">
        <v>0.120522</v>
      </c>
      <c r="B8" s="31">
        <v>715.1725639871569</v>
      </c>
      <c r="C8" s="31">
        <v>718.5363063316978</v>
      </c>
      <c r="D8" s="31">
        <v>722.7916105251028</v>
      </c>
      <c r="E8" s="31">
        <v>728.0862133355937</v>
      </c>
      <c r="F8" s="31">
        <v>734.6024009498391</v>
      </c>
    </row>
    <row r="9" spans="1:6" x14ac:dyDescent="0.25">
      <c r="A9" s="30">
        <v>0.130522</v>
      </c>
      <c r="B9" s="31">
        <v>634.041482799667</v>
      </c>
      <c r="C9" s="31">
        <v>634.7015336615713</v>
      </c>
      <c r="D9" s="31">
        <v>635.8853421197466</v>
      </c>
      <c r="E9" s="31">
        <v>637.6710638410534</v>
      </c>
      <c r="F9" s="31">
        <v>640.1532184015781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2790459000</v>
      </c>
      <c r="C5" s="18">
        <v>2207100000</v>
      </c>
      <c r="D5" s="18">
        <v>1821072000</v>
      </c>
      <c r="E5" s="18">
        <v>1794148000</v>
      </c>
      <c r="F5" s="6" t="s">
        <v>91</v>
      </c>
    </row>
    <row r="6" spans="1:6" x14ac:dyDescent="0.25">
      <c r="A6" t="s">
        <v>51</v>
      </c>
      <c r="B6" s="18">
        <v>728636000</v>
      </c>
      <c r="C6" s="18">
        <v>539358000</v>
      </c>
      <c r="D6" s="18">
        <v>481736000</v>
      </c>
      <c r="E6" s="18">
        <v>526785000</v>
      </c>
      <c r="F6" s="6" t="s">
        <v>92</v>
      </c>
    </row>
    <row r="7" spans="1:6" x14ac:dyDescent="0.25">
      <c r="A7" t="s">
        <v>93</v>
      </c>
      <c r="B7" s="18">
        <v>52513000</v>
      </c>
      <c r="C7" s="18">
        <v>36430000</v>
      </c>
      <c r="D7" s="18">
        <v>40168000</v>
      </c>
      <c r="E7" s="18">
        <v>37114000</v>
      </c>
      <c r="F7" s="6" t="s">
        <v>94</v>
      </c>
    </row>
    <row r="8" spans="1:6" x14ac:dyDescent="0.25">
      <c r="A8" t="s">
        <v>95</v>
      </c>
      <c r="B8" s="18">
        <v>174941000</v>
      </c>
      <c r="C8" s="18">
        <v>164293000</v>
      </c>
      <c r="D8" s="18">
        <v>57578000</v>
      </c>
      <c r="E8" s="18">
        <v>58843000</v>
      </c>
      <c r="F8" s="6" t="s">
        <v>96</v>
      </c>
    </row>
    <row r="9" spans="1:6" x14ac:dyDescent="0.25">
      <c r="A9" t="s">
        <v>97</v>
      </c>
      <c r="B9" s="18">
        <v>88106000</v>
      </c>
      <c r="C9" s="18">
        <v>-92068000</v>
      </c>
      <c r="D9" s="18">
        <v>-30324000</v>
      </c>
      <c r="E9" s="18">
        <v>386956000</v>
      </c>
      <c r="F9" s="6" t="s">
        <v>98</v>
      </c>
    </row>
    <row r="10" spans="1:6" x14ac:dyDescent="0.25">
      <c r="A10" t="s">
        <v>99</v>
      </c>
      <c r="B10" s="18">
        <v>19972000</v>
      </c>
      <c r="C10" s="18">
        <v>12974000</v>
      </c>
      <c r="D10" s="18">
        <v>5565000</v>
      </c>
      <c r="E10" s="18">
        <v>1664000</v>
      </c>
      <c r="F10" s="6" t="s">
        <v>100</v>
      </c>
    </row>
    <row r="11" spans="1:6" x14ac:dyDescent="0.25">
      <c r="A11" t="s">
        <v>101</v>
      </c>
      <c r="B11" s="18">
        <v>1256545000</v>
      </c>
      <c r="C11" s="18">
        <v>862946000</v>
      </c>
      <c r="D11" s="18">
        <v>1108476000</v>
      </c>
      <c r="E11" s="18">
        <v>737873000</v>
      </c>
      <c r="F11" s="6" t="s">
        <v>102</v>
      </c>
    </row>
    <row r="12" spans="1:6" x14ac:dyDescent="0.25">
      <c r="A12" t="s">
        <v>34</v>
      </c>
      <c r="B12" s="34">
        <v>48309000</v>
      </c>
      <c r="C12" s="34">
        <v>48835000</v>
      </c>
      <c r="D12" s="34">
        <v>48771000</v>
      </c>
      <c r="E12" s="34">
        <v>48358000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