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<sst xmlns="http://schemas.openxmlformats.org/spreadsheetml/2006/main" count="113" uniqueCount="101">
  <si>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Monolithic Power Systems, Inc. (MPWR)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</si>
  <si>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</si>
  <si>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</si>
  <si>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</si>
  <si>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</si>
  <si>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</si>
  <si>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</si>
  <si>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</si>
  <si>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</si>
  <si>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</si>
  <si>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</si>
  <si>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</si>
  <si>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</si>
  <si>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</si>
  <si>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</si>
  <si>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</si>
  <si>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</si>
  <si>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</si>
  <si>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</si>
  <si>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</si>
  <si>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</si>
  <si>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</si>
  <si>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</si>
  <si>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</si>
  <si>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</si>
  <si>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</si>
  <si>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</si>
  <si>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</si>
  <si>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</si>
  <si>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</si>
  <si>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</si>
  <si>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</si>
  <si>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</si>
  <si>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</si>
  <si>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</si>
  <si>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</si>
  <si>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</si>
  <si>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</si>
  <si>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</si>
  <si>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</si>
  <si>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</si>
  <si>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</si>
  <si>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</si>
  <si>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</si>
  <si>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</si>
  <si>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</si>
  <si>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</si>
  <si>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</si>
  <si>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</si>
  <si>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</si>
  <si>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</si>
  <si>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</si>
  <si>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</si>
  <si>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</si>
  <si>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</si>
  <si>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</si>
  <si>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</si>
  <si>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</si>
  <si>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</si>
  <si>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</si>
  <si>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</si>
  <si>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</si>
  <si>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</si>
  <si>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</si>
  <si>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</si>
  <si>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</si>
  <si>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</si>
  <si>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</si>
  <si>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</si>
  <si>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</si>
  <si>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</si>
  <si>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</si>
  <si>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</si>
  <si>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</si>
  <si>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</si>
  <si>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</si>
  <si>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</si>
  <si>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</si>
  <si>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</si>
  <si>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</si>
  <si>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</si>
  <si>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</si>
  <si>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</si>
  <si>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</si>
  <si>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</si>
  <si>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</si>
  <si>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</si>
  <si>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</si>
  <si>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</si>
  <si>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</si>
  <si>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</si>
  <si>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</si>
  <si>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</si>
  <si>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</si>
  <si>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</si>
  <si>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</si>
  <si>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</si>
  <si>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</si>
  <si>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5.0% of revenue against depreciation of 2.0%. A perpetuity has to be a steady state, so the terminal year uses maintenance capex at depreciation and then charges the reinvestment terminal growth requires (g/ROIC of NOPAT). The bridge is shown under Terminal Value.</t>
  </si>
  <si>
    <t>Current EV/EBITDA of 75.0x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</si>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</sst>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0.1586149467868072</v>
      </c>
    </row>
    <row r="7" spans="1:2" x14ac:dyDescent="0.25">
      <c r="A7" t="s">
        <v>5</v>
      </c>
      <c r="B7" s="6">
        <v>0.26590954049691407</v>
      </c>
    </row>
    <row r="8" spans="1:2" x14ac:dyDescent="0.25">
      <c r="A8" t="s">
        <v>6</v>
      </c>
      <c r="B8" s="6">
        <v>0.16623899629860345</v>
      </c>
    </row>
    <row r="9" spans="1:2" x14ac:dyDescent="0.25">
      <c r="A9" t="s">
        <v>7</v>
      </c>
      <c r="B9" s="6">
        <v>0.019517017354622083</v>
      </c>
    </row>
    <row r="10" spans="1:2" x14ac:dyDescent="0.25">
      <c r="A10" t="s">
        <v>8</v>
      </c>
      <c r="B10" s="6">
        <v>0.050386445055400214</v>
      </c>
    </row>
    <row r="11" spans="1:2" x14ac:dyDescent="0.25">
      <c r="A11" t="s">
        <v>9</v>
      </c>
      <c r="B11" s="6">
        <v>-0.2385008341363839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0.1839798416142119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1.44488</v>
      </c>
      <c r="C19" s="8" t="s">
        <v>19</v>
      </c>
    </row>
    <row r="20" spans="1:2" x14ac:dyDescent="0.25">
      <c r="A20" t="s">
        <v>20</v>
      </c>
      <c r="B20" s="10">
        <f>B17+B19*B18</f>
        <v>0.1294484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59846348800</v>
      </c>
    </row>
    <row r="23" spans="1:2" x14ac:dyDescent="0.25">
      <c r="A23" t="s">
        <v>24</v>
      </c>
      <c r="B23" s="11">
        <v>19972000</v>
      </c>
    </row>
    <row r="24" spans="1:2" x14ac:dyDescent="0.25">
      <c r="A24" t="s">
        <v>25</v>
      </c>
      <c r="B24" s="10">
        <f>B22/(B22+B23)</f>
        <v>0.9996663900548236</v>
      </c>
    </row>
    <row r="25" spans="1:2" x14ac:dyDescent="0.25">
      <c r="A25" t="s">
        <v>26</v>
      </c>
      <c r="B25" s="10">
        <f>1-B24</f>
        <v>0.0003336099451763941</v>
      </c>
    </row>
    <row r="26" spans="1:2" x14ac:dyDescent="0.25">
      <c r="A26" t="s">
        <v>27</v>
      </c>
      <c r="B26" s="12">
        <f>B24*B20+B25*B21*(1-B8)</f>
        <v>0.129424679730745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2790459000</v>
      </c>
      <c r="C29" s="8" t="s">
        <v>30</v>
      </c>
    </row>
    <row r="30" spans="1:2" x14ac:dyDescent="0.25">
      <c r="A30" t="s">
        <v>31</v>
      </c>
      <c r="B30" s="11">
        <v>-1236573000</v>
      </c>
    </row>
    <row r="31" spans="1:2" x14ac:dyDescent="0.25">
      <c r="A31" t="s">
        <v>32</v>
      </c>
      <c r="B31" s="13">
        <v>48309000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0.1586149467868072</v>
      </c>
      <c r="C5" s="10">
        <f>Assumptions!B6</f>
        <v>0.1586149467868072</v>
      </c>
      <c r="D5" s="10">
        <f>Assumptions!B6</f>
        <v>0.1586149467868072</v>
      </c>
      <c r="E5" s="10">
        <f>Assumptions!B6</f>
        <v>0.1586149467868072</v>
      </c>
      <c r="F5" s="10">
        <f>Assumptions!B6</f>
        <v>0.1586149467868072</v>
      </c>
    </row>
    <row r="6" spans="1:6" x14ac:dyDescent="0.25">
      <c r="A6" t="s">
        <v>43</v>
      </c>
      <c r="B6" s="18">
        <f>Assumptions!B29*(1+B5)</f>
        <v>3233067505.7957673</v>
      </c>
      <c r="C6" s="18">
        <f>B6*(1+C5)</f>
        <v>3745880336.1857185</v>
      </c>
      <c r="D6" s="18">
        <f>C6*(1+D5)</f>
        <v>4340032946.379563</v>
      </c>
      <c r="E6" s="18">
        <f>D6*(1+E5)</f>
        <v>5028427041.222548</v>
      </c>
      <c r="F6" s="18">
        <f>E6*(1+F5)</f>
        <v>5826010728.787404</v>
      </c>
    </row>
    <row r="7" spans="1:6" x14ac:dyDescent="0.25">
      <c r="A7" t="s">
        <v>5</v>
      </c>
      <c r="B7" s="10">
        <f>Assumptions!B7</f>
        <v>0.26590954049691407</v>
      </c>
      <c r="C7" s="10">
        <f>Assumptions!B7</f>
        <v>0.26590954049691407</v>
      </c>
      <c r="D7" s="10">
        <f>Assumptions!B7</f>
        <v>0.26590954049691407</v>
      </c>
      <c r="E7" s="10">
        <f>Assumptions!B7</f>
        <v>0.26590954049691407</v>
      </c>
      <c r="F7" s="10">
        <f>Assumptions!B7</f>
        <v>0.26590954049691407</v>
      </c>
    </row>
    <row r="8" spans="1:6" x14ac:dyDescent="0.25">
      <c r="A8" t="s">
        <v>44</v>
      </c>
      <c r="B8" s="18">
        <f>B6*B7</f>
        <v>859703494.8616565</v>
      </c>
      <c r="C8" s="18">
        <f>C6*C7</f>
        <v>996065318.9515704</v>
      </c>
      <c r="D8" s="18">
        <f>D6*D7</f>
        <v>1154056166.5132577</v>
      </c>
      <c r="E8" s="18">
        <f>E6*E7</f>
        <v>1337106723.953745</v>
      </c>
      <c r="F8" s="18">
        <f>F6*F7</f>
        <v>1549191835.82195</v>
      </c>
    </row>
    <row r="9" spans="1:6" x14ac:dyDescent="0.25">
      <c r="A9" t="s">
        <v>45</v>
      </c>
      <c r="B9" s="18">
        <f>B8*(1-Assumptions!B8)</f>
        <v>716787248.7614532</v>
      </c>
      <c r="C9" s="18">
        <f>C8*(1-Assumptions!B8)</f>
        <v>830480420.081213</v>
      </c>
      <c r="D9" s="18">
        <f>D8*(1-Assumptions!B8)</f>
        <v>962207027.7198797</v>
      </c>
      <c r="E9" s="18">
        <f>E8*(1-Assumptions!B8)</f>
        <v>1114827444.2195604</v>
      </c>
      <c r="F9" s="18">
        <f>F8*(1-Assumptions!B8)</f>
        <v>1291655739.960918</v>
      </c>
    </row>
    <row r="10" spans="1:6" x14ac:dyDescent="0.25">
      <c r="A10" t="s">
        <v>46</v>
      </c>
      <c r="B10" s="18">
        <f>B6*Assumptions!B9</f>
        <v>63099834.61928072</v>
      </c>
      <c r="C10" s="18">
        <f>C6*Assumptions!B9</f>
        <v>73108411.52967428</v>
      </c>
      <c r="D10" s="18">
        <f>D6*Assumptions!B9</f>
        <v>84704498.33412156</v>
      </c>
      <c r="E10" s="18">
        <f>E6*Assumptions!B9</f>
        <v>98139897.82999143</v>
      </c>
      <c r="F10" s="18">
        <f>F6*Assumptions!B9</f>
        <v>113706352.5019582</v>
      </c>
    </row>
    <row r="11" spans="1:6" x14ac:dyDescent="0.25">
      <c r="A11" t="s">
        <v>47</v>
      </c>
      <c r="B11" s="18">
        <f>-B6*Assumptions!B10</f>
        <v>-162902778.24117824</v>
      </c>
      <c r="C11" s="18">
        <f>-C6*Assumptions!B10</f>
        <v>-188741593.7433258</v>
      </c>
      <c r="D11" s="18">
        <f>-D6*Assumptions!B10</f>
        <v>-218678831.59138057</v>
      </c>
      <c r="E11" s="18">
        <f>-E6*Assumptions!B10</f>
        <v>-253364562.82764855</v>
      </c>
      <c r="F11" s="18">
        <f>-F6*Assumptions!B10</f>
        <v>-293551969.4782187</v>
      </c>
    </row>
    <row r="12" spans="1:6" x14ac:dyDescent="0.25">
      <c r="A12" t="s">
        <v>48</v>
      </c>
      <c r="B12" s="18">
        <f>-(B6-Assumptions!B29)*Assumptions!B11</f>
        <v>105562497.828149</v>
      </c>
      <c r="C12" s="18">
        <f>-(C6-B6)*Assumptions!B11</f>
        <v>122306287.80384332</v>
      </c>
      <c r="D12" s="18">
        <f>-(D6-C6)*Assumptions!B11</f>
        <v>141705893.13554174</v>
      </c>
      <c r="E12" s="18">
        <f>-(E6-D6)*Assumptions!B11</f>
        <v>164182565.8346127</v>
      </c>
      <c r="F12" s="18">
        <f>-(F6-E6)*Assumptions!B11</f>
        <v>190224374.7777913</v>
      </c>
    </row>
    <row r="13" spans="1:6" x14ac:dyDescent="0.25">
      <c r="A13" s="19" t="s">
        <v>49</v>
      </c>
      <c r="B13" s="20">
        <f>B9+B10+B11+B12</f>
        <v>722546802.9677045</v>
      </c>
      <c r="C13" s="20">
        <f>C9+C10+C11+C12</f>
        <v>837153525.6714048</v>
      </c>
      <c r="D13" s="20">
        <f>D9+D10+D11+D12</f>
        <v>969938587.5981624</v>
      </c>
      <c r="E13" s="20">
        <f>E9+E10+E11+E12</f>
        <v>1123785345.056516</v>
      </c>
      <c r="F13" s="20">
        <f>F9+F10+F11+F12</f>
        <v>1302034497.7624485</v>
      </c>
    </row>
    <row r="14" spans="1:6" x14ac:dyDescent="0.25">
      <c r="A14" t="s">
        <v>50</v>
      </c>
      <c r="B14" s="21">
        <f>1/(1+Assumptions!$B$26)^(1-0.5*Assumptions!$B$32)</f>
        <v>0.9409604358765699</v>
      </c>
      <c r="C14" s="21">
        <f>1/(1+Assumptions!$B$26)^(2-0.5*Assumptions!$B$32)</f>
        <v>0.8331325255800988</v>
      </c>
      <c r="D14" s="21">
        <f>1/(1+Assumptions!$B$26)^(3-0.5*Assumptions!$B$32)</f>
        <v>0.7376609884058118</v>
      </c>
      <c r="E14" s="21">
        <f>1/(1+Assumptions!$B$26)^(4-0.5*Assumptions!$B$32)</f>
        <v>0.6531298648278788</v>
      </c>
      <c r="F14" s="21">
        <f>1/(1+Assumptions!$B$26)^(5-0.5*Assumptions!$B$32)</f>
        <v>0.5782854550190856</v>
      </c>
    </row>
    <row r="15" spans="1:6" x14ac:dyDescent="0.25">
      <c r="A15" s="19" t="s">
        <v>51</v>
      </c>
      <c r="B15" s="20">
        <f>B13*B14</f>
        <v>679887954.6617132</v>
      </c>
      <c r="C15" s="20">
        <f>C13*C14</f>
        <v>697459831.1409016</v>
      </c>
      <c r="D15" s="20">
        <f>D13*D14</f>
        <v>715485857.2205976</v>
      </c>
      <c r="E15" s="20">
        <f>E13*E14</f>
        <v>733977770.5123134</v>
      </c>
      <c r="F15" s="20">
        <f>F13*F14</f>
        <v>752947611.9891042</v>
      </c>
    </row>
    <row r="17" spans="1:2" x14ac:dyDescent="0.25">
      <c r="A17" s="22" t="s">
        <v>52</v>
      </c>
      <c r="B17" s="23">
        <f>SUM(B15:F15)</f>
        <v>3579759025.52463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1302034497.7624485</v>
      </c>
    </row>
    <row r="5" spans="1:2" x14ac:dyDescent="0.25">
      <c r="A5" t="s">
        <v>56</v>
      </c>
      <c r="B5" s="18">
        <f>IF(Assumptions!$B$33=0,B4,B4-Forecast!F11-Forecast!F10-Forecast!F12)</f>
        <v>1291655739.960918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0.13588445223484105</v>
      </c>
    </row>
    <row r="7" spans="1:2" x14ac:dyDescent="0.25">
      <c r="A7" t="s">
        <v>58</v>
      </c>
      <c r="B7" s="18">
        <f>-MAX(Forecast!F9,0)*B6</f>
        <v>-175515932.70057762</v>
      </c>
    </row>
    <row r="8" spans="1:2" x14ac:dyDescent="0.25">
      <c r="A8" t="s">
        <v>59</v>
      </c>
      <c r="B8" s="18">
        <f>IF(OR(Assumptions!$B$33=0,Assumptions!B12&lt;=0),B5,MAX(B5+B7,0))</f>
        <v>1116139807.2603402</v>
      </c>
    </row>
    <row r="9" spans="1:2" x14ac:dyDescent="0.25">
      <c r="A9" t="s">
        <v>60</v>
      </c>
      <c r="B9" s="18">
        <f>B8*(1+Assumptions!B12)/(Assumptions!B26-Assumptions!B12)</f>
        <v>10955679302.936047</v>
      </c>
    </row>
    <row r="10" spans="1:2" x14ac:dyDescent="0.25">
      <c r="A10" t="s">
        <v>61</v>
      </c>
      <c r="B10" s="18">
        <f>B9/(1+Assumptions!B26)^(5-0.5*Assumptions!B32)</f>
        <v>6335509990.7415495</v>
      </c>
    </row>
    <row r="11" spans="1:2" x14ac:dyDescent="0.25">
      <c r="A11" t="s">
        <v>62</v>
      </c>
      <c r="B11" s="18">
        <f>Forecast!B17+B10</f>
        <v>9915269016.26618</v>
      </c>
    </row>
    <row r="12" spans="1:2" x14ac:dyDescent="0.25">
      <c r="A12" t="s">
        <v>63</v>
      </c>
      <c r="B12" s="18">
        <f>-Assumptions!B30</f>
        <v>1236573000</v>
      </c>
    </row>
    <row r="13" spans="1:2" x14ac:dyDescent="0.25">
      <c r="A13" t="s">
        <v>64</v>
      </c>
      <c r="B13" s="18">
        <f>B11+B12</f>
        <v>11151842016.26618</v>
      </c>
    </row>
    <row r="14" spans="1:2" x14ac:dyDescent="0.25">
      <c r="A14" s="19" t="s">
        <v>65</v>
      </c>
      <c r="B14" s="24">
        <f>B13/Assumptions!B31</f>
        <v>230.84398385945022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1662898188.323908</v>
      </c>
    </row>
    <row r="18" spans="1:2" x14ac:dyDescent="0.25">
      <c r="A18" t="s">
        <v>60</v>
      </c>
      <c r="B18" s="18">
        <f>B17*Assumptions!B13</f>
        <v>33257963766.47816</v>
      </c>
    </row>
    <row r="19" spans="1:2" x14ac:dyDescent="0.25">
      <c r="A19" t="s">
        <v>61</v>
      </c>
      <c r="B19" s="18">
        <f>B18/(1+Assumptions!B26)^(5-0.5*Assumptions!B32)</f>
        <v>19232596709.706085</v>
      </c>
    </row>
    <row r="20" spans="1:2" x14ac:dyDescent="0.25">
      <c r="A20" t="s">
        <v>62</v>
      </c>
      <c r="B20" s="18">
        <f>Forecast!B17+B19</f>
        <v>22812355735.230717</v>
      </c>
    </row>
    <row r="21" spans="1:2" x14ac:dyDescent="0.25">
      <c r="A21" t="s">
        <v>63</v>
      </c>
      <c r="B21" s="18">
        <f>-Assumptions!B30</f>
        <v>1236573000</v>
      </c>
    </row>
    <row r="22" spans="1:2" x14ac:dyDescent="0.25">
      <c r="A22" t="s">
        <v>64</v>
      </c>
      <c r="B22" s="18">
        <f>B20+B21</f>
        <v>24048928735.230717</v>
      </c>
    </row>
    <row r="23" spans="1:2" x14ac:dyDescent="0.25">
      <c r="A23" s="19" t="s">
        <v>65</v>
      </c>
      <c r="B23" s="25">
        <f>B22/Assumptions!B31</f>
        <v>497.81466673354277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1217.8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230.84398385945022</v>
      </c>
    </row>
    <row r="29" spans="1:2" x14ac:dyDescent="0.25">
      <c r="A29" s="19" t="s">
        <v>73</v>
      </c>
      <c r="B29" s="12">
        <f>B28/B26-1</f>
        <v>-0.8104417935133436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0.109425</v>
      </c>
      <c r="B5" s="31">
        <v>268.6115131191257</v>
      </c>
      <c r="C5" s="31">
        <v>273.52762346662996</v>
      </c>
      <c r="D5" s="31">
        <v>278.9720993917794</v>
      </c>
      <c r="E5" s="31">
        <v>285.0447266505034</v>
      </c>
      <c r="F5" s="31">
        <v>291.87210611621276</v>
      </c>
    </row>
    <row r="6" spans="1:6" x14ac:dyDescent="0.25">
      <c r="A6" s="30">
        <v>0.119425</v>
      </c>
      <c r="B6" s="31">
        <v>245.07520846267582</v>
      </c>
      <c r="C6" s="31">
        <v>248.55671112233907</v>
      </c>
      <c r="D6" s="31">
        <v>252.36060093799463</v>
      </c>
      <c r="E6" s="31">
        <v>256.5409545922247</v>
      </c>
      <c r="F6" s="31">
        <v>261.16465935276494</v>
      </c>
    </row>
    <row r="7" spans="1:6" x14ac:dyDescent="0.25">
      <c r="A7" s="30">
        <v>0.129425</v>
      </c>
      <c r="B7" s="31">
        <v>225.66928604510343</v>
      </c>
      <c r="C7" s="31">
        <v>228.15731339101583</v>
      </c>
      <c r="D7" s="32">
        <v>230.8433606861549</v>
      </c>
      <c r="E7" s="31">
        <v>233.75730270284572</v>
      </c>
      <c r="F7" s="31">
        <v>236.93534193855461</v>
      </c>
    </row>
    <row r="8" spans="1:6" x14ac:dyDescent="0.25">
      <c r="A8" s="30">
        <v>0.139425</v>
      </c>
      <c r="B8" s="31">
        <v>209.39747060440703</v>
      </c>
      <c r="C8" s="31">
        <v>211.18111402864977</v>
      </c>
      <c r="D8" s="31">
        <v>213.0853413939498</v>
      </c>
      <c r="E8" s="31">
        <v>215.12668237008893</v>
      </c>
      <c r="F8" s="31">
        <v>217.32483247215052</v>
      </c>
    </row>
    <row r="9" spans="1:6" x14ac:dyDescent="0.25">
      <c r="A9" s="30">
        <v>0.149425</v>
      </c>
      <c r="B9" s="31">
        <v>195.5599474258347</v>
      </c>
      <c r="C9" s="31">
        <v>196.83467200562998</v>
      </c>
      <c r="D9" s="31">
        <v>198.18063910935024</v>
      </c>
      <c r="E9" s="31">
        <v>199.6067969292409</v>
      </c>
      <c r="F9" s="31">
        <v>201.12365768503116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2790459000</v>
      </c>
      <c r="C5" s="18">
        <v>2207100000</v>
      </c>
      <c r="D5" s="18">
        <v>1821072000</v>
      </c>
      <c r="E5" s="18">
        <v>1794148000</v>
      </c>
      <c r="F5" s="8" t="s">
        <v>84</v>
      </c>
    </row>
    <row r="6" spans="1:6" x14ac:dyDescent="0.25">
      <c r="A6" t="s">
        <v>44</v>
      </c>
      <c r="B6" s="18">
        <v>728636000</v>
      </c>
      <c r="C6" s="18">
        <v>539358000</v>
      </c>
      <c r="D6" s="18">
        <v>481736000</v>
      </c>
      <c r="E6" s="18">
        <v>526785000</v>
      </c>
      <c r="F6" s="8" t="s">
        <v>85</v>
      </c>
    </row>
    <row r="7" spans="1:6" x14ac:dyDescent="0.25">
      <c r="A7" t="s">
        <v>86</v>
      </c>
      <c r="B7" s="18">
        <v>52513000</v>
      </c>
      <c r="C7" s="18">
        <v>36430000</v>
      </c>
      <c r="D7" s="18">
        <v>40168000</v>
      </c>
      <c r="E7" s="18">
        <v>37114000</v>
      </c>
      <c r="F7" s="8" t="s">
        <v>87</v>
      </c>
    </row>
    <row r="8" spans="1:6" x14ac:dyDescent="0.25">
      <c r="A8" t="s">
        <v>88</v>
      </c>
      <c r="B8" s="18">
        <v>174941000</v>
      </c>
      <c r="C8" s="18">
        <v>164293000</v>
      </c>
      <c r="D8" s="18">
        <v>57578000</v>
      </c>
      <c r="E8" s="18">
        <v>58843000</v>
      </c>
      <c r="F8" s="8" t="s">
        <v>89</v>
      </c>
    </row>
    <row r="9" spans="1:6" x14ac:dyDescent="0.25">
      <c r="A9" t="s">
        <v>90</v>
      </c>
      <c r="B9" s="18">
        <v>88106000</v>
      </c>
      <c r="C9" s="18">
        <v>-92068000</v>
      </c>
      <c r="D9" s="18">
        <v>-30324000</v>
      </c>
      <c r="E9" s="18">
        <v>386956000</v>
      </c>
      <c r="F9" s="8" t="s">
        <v>91</v>
      </c>
    </row>
    <row r="10" spans="1:6" x14ac:dyDescent="0.25">
      <c r="A10" t="s">
        <v>92</v>
      </c>
      <c r="B10" s="18">
        <v>19972000</v>
      </c>
      <c r="C10" s="18">
        <v>12974000</v>
      </c>
      <c r="D10" s="18">
        <v>5565000</v>
      </c>
      <c r="E10" s="18">
        <v>1664000</v>
      </c>
      <c r="F10" s="8" t="s">
        <v>93</v>
      </c>
    </row>
    <row r="11" spans="1:6" x14ac:dyDescent="0.25">
      <c r="A11" t="s">
        <v>94</v>
      </c>
      <c r="B11" s="18">
        <v>1256545000</v>
      </c>
      <c r="C11" s="18">
        <v>862946000</v>
      </c>
      <c r="D11" s="18">
        <v>1108476000</v>
      </c>
      <c r="E11" s="18">
        <v>737873000</v>
      </c>
      <c r="F11" s="8" t="s">
        <v>95</v>
      </c>
    </row>
    <row r="12" spans="1:6" x14ac:dyDescent="0.25">
      <c r="A12" t="s">
        <v>32</v>
      </c>
      <c r="B12" s="34">
        <v>48309000</v>
      </c>
      <c r="C12" s="34">
        <v>48835000</v>
      </c>
      <c r="D12" s="34">
        <v>48771000</v>
      </c>
      <c r="E12" s="34">
        <v>48358000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