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<sst xmlns="http://schemas.openxmlformats.org/spreadsheetml/2006/main" count="111" uniqueCount="99">
  <si>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Merck &amp; Co., Inc. (MRK)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</si>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</sst>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0.03122213027882159</v>
      </c>
    </row>
    <row r="7" spans="1:2" x14ac:dyDescent="0.25">
      <c r="A7" t="s">
        <v>5</v>
      </c>
      <c r="B7" s="6">
        <v>0.2531751044904946</v>
      </c>
    </row>
    <row r="8" spans="1:2" x14ac:dyDescent="0.25">
      <c r="A8" t="s">
        <v>6</v>
      </c>
      <c r="B8" s="6">
        <v>0.13684953978329933</v>
      </c>
    </row>
    <row r="9" spans="1:2" x14ac:dyDescent="0.25">
      <c r="A9" t="s">
        <v>7</v>
      </c>
      <c r="B9" s="6">
        <v>0.0725652140378797</v>
      </c>
    </row>
    <row r="10" spans="1:2" x14ac:dyDescent="0.25">
      <c r="A10" t="s">
        <v>8</v>
      </c>
      <c r="B10" s="6">
        <v>0.06351960162436934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14.211039254535695</v>
      </c>
    </row>
    <row r="14" spans="1:3" x14ac:dyDescent="0.25">
      <c r="A14" t="s">
        <v>12</v>
      </c>
      <c r="B14" s="6">
        <v>0.19648127458450826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0.48141999999999996</v>
      </c>
      <c r="C19" s="8" t="s">
        <v>19</v>
      </c>
    </row>
    <row r="20" spans="1:2" x14ac:dyDescent="0.25">
      <c r="A20" t="s">
        <v>20</v>
      </c>
      <c r="B20" s="10">
        <f>B17+B19*B18</f>
        <v>0.0764581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362353491968</v>
      </c>
    </row>
    <row r="23" spans="1:2" x14ac:dyDescent="0.25">
      <c r="A23" t="s">
        <v>24</v>
      </c>
      <c r="B23" s="11">
        <v>49339000000</v>
      </c>
    </row>
    <row r="24" spans="1:2" x14ac:dyDescent="0.25">
      <c r="A24" t="s">
        <v>25</v>
      </c>
      <c r="B24" s="10">
        <f>B22/(B22+B23)</f>
        <v>0.8801556963933289</v>
      </c>
    </row>
    <row r="25" spans="1:2" x14ac:dyDescent="0.25">
      <c r="A25" t="s">
        <v>26</v>
      </c>
      <c r="B25" s="10">
        <f>1-B24</f>
        <v>0.11984430360667109</v>
      </c>
    </row>
    <row r="26" spans="1:2" x14ac:dyDescent="0.25">
      <c r="A26" t="s">
        <v>27</v>
      </c>
      <c r="B26" s="12">
        <f>B24*B20+B25*B21*(1-B8)</f>
        <v>0.07246514666771695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65011000000</v>
      </c>
      <c r="C29" s="8" t="s">
        <v>30</v>
      </c>
    </row>
    <row r="30" spans="1:2" x14ac:dyDescent="0.25">
      <c r="A30" t="s">
        <v>31</v>
      </c>
      <c r="B30" s="11">
        <v>34774000000</v>
      </c>
    </row>
    <row r="31" spans="1:2" x14ac:dyDescent="0.25">
      <c r="A31" t="s">
        <v>32</v>
      </c>
      <c r="B31" s="13">
        <v>2507000000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0.03122213027882159</v>
      </c>
      <c r="C5" s="10">
        <f>Assumptions!B6</f>
        <v>0.03122213027882159</v>
      </c>
      <c r="D5" s="10">
        <f>Assumptions!B6</f>
        <v>0.03122213027882159</v>
      </c>
      <c r="E5" s="10">
        <f>Assumptions!B6</f>
        <v>0.03122213027882159</v>
      </c>
      <c r="F5" s="10">
        <f>Assumptions!B6</f>
        <v>0.03122213027882159</v>
      </c>
    </row>
    <row r="6" spans="1:6" x14ac:dyDescent="0.25">
      <c r="A6" t="s">
        <v>43</v>
      </c>
      <c r="B6" s="18">
        <f>Assumptions!B29*(1+B5)</f>
        <v>67040781911.55647</v>
      </c>
      <c r="C6" s="18">
        <f>B6*(1+C5)</f>
        <v>69133937938.39316</v>
      </c>
      <c r="D6" s="18">
        <f>C6*(1+D5)</f>
        <v>71292446755.39363</v>
      </c>
      <c r="E6" s="18">
        <f>D6*(1+E5)</f>
        <v>73518348815.88649</v>
      </c>
      <c r="F6" s="18">
        <f>E6*(1+F5)</f>
        <v>75813748280.49995</v>
      </c>
    </row>
    <row r="7" spans="1:6" x14ac:dyDescent="0.25">
      <c r="A7" t="s">
        <v>5</v>
      </c>
      <c r="B7" s="10">
        <f>Assumptions!B7</f>
        <v>0.2531751044904946</v>
      </c>
      <c r="C7" s="10">
        <f>Assumptions!B7</f>
        <v>0.2531751044904946</v>
      </c>
      <c r="D7" s="10">
        <f>Assumptions!B7</f>
        <v>0.2531751044904946</v>
      </c>
      <c r="E7" s="10">
        <f>Assumptions!B7</f>
        <v>0.2531751044904946</v>
      </c>
      <c r="F7" s="10">
        <f>Assumptions!B7</f>
        <v>0.2531751044904946</v>
      </c>
    </row>
    <row r="8" spans="1:6" x14ac:dyDescent="0.25">
      <c r="A8" t="s">
        <v>44</v>
      </c>
      <c r="B8" s="18">
        <f>B6*B7</f>
        <v>16973056965.58277</v>
      </c>
      <c r="C8" s="18">
        <f>C6*C7</f>
        <v>17502991961.392056</v>
      </c>
      <c r="D8" s="18">
        <f>D6*D7</f>
        <v>18049472656.679802</v>
      </c>
      <c r="E8" s="18">
        <f>E6*E7</f>
        <v>18613015643.43069</v>
      </c>
      <c r="F8" s="18">
        <f>F6*F7</f>
        <v>19194153642.73163</v>
      </c>
    </row>
    <row r="9" spans="1:6" x14ac:dyDescent="0.25">
      <c r="A9" t="s">
        <v>45</v>
      </c>
      <c r="B9" s="18">
        <f>B8*(1-Assumptions!B8)</f>
        <v>14650301931.127043</v>
      </c>
      <c r="C9" s="18">
        <f>C8*(1-Assumptions!B8)</f>
        <v>15107715566.644764</v>
      </c>
      <c r="D9" s="18">
        <f>D8*(1-Assumptions!B8)</f>
        <v>15579410630.281925</v>
      </c>
      <c r="E9" s="18">
        <f>E8*(1-Assumptions!B8)</f>
        <v>16065833018.647848</v>
      </c>
      <c r="F9" s="18">
        <f>F8*(1-Assumptions!B8)</f>
        <v>16567442550.193865</v>
      </c>
    </row>
    <row r="10" spans="1:6" x14ac:dyDescent="0.25">
      <c r="A10" t="s">
        <v>46</v>
      </c>
      <c r="B10" s="18">
        <f>B6*Assumptions!B9</f>
        <v>4864828688.678909</v>
      </c>
      <c r="C10" s="18">
        <f>C6*Assumptions!B9</f>
        <v>5016719003.780992</v>
      </c>
      <c r="D10" s="18">
        <f>D6*Assumptions!B9</f>
        <v>5173351658.089281</v>
      </c>
      <c r="E10" s="18">
        <f>E6*Assumptions!B9</f>
        <v>5334874717.536303</v>
      </c>
      <c r="F10" s="18">
        <f>F6*Assumptions!B9</f>
        <v>5501440870.988414</v>
      </c>
    </row>
    <row r="11" spans="1:6" x14ac:dyDescent="0.25">
      <c r="A11" t="s">
        <v>47</v>
      </c>
      <c r="B11" s="18">
        <f>-B6*Assumptions!B10</f>
        <v>-4258403759.6082935</v>
      </c>
      <c r="C11" s="18">
        <f>-C6*Assumptions!B10</f>
        <v>-4391360196.570607</v>
      </c>
      <c r="D11" s="18">
        <f>-D6*Assumptions!B10</f>
        <v>-4528467816.729166</v>
      </c>
      <c r="E11" s="18">
        <f>-E6*Assumptions!B10</f>
        <v>-4669856228.866535</v>
      </c>
      <c r="F11" s="18">
        <f>-F6*Assumptions!B10</f>
        <v>-4815659088.427573</v>
      </c>
    </row>
    <row r="12" spans="1:6" x14ac:dyDescent="0.25">
      <c r="A12" t="s">
        <v>48</v>
      </c>
      <c r="B12" s="18">
        <f>-(B6-Assumptions!B29)*Assumptions!B11</f>
        <v>-2029781911.5564728</v>
      </c>
      <c r="C12" s="18">
        <f>-(C6-B6)*Assumptions!B11</f>
        <v>-2093156026.8366852</v>
      </c>
      <c r="D12" s="18">
        <f>-(D6-C6)*Assumptions!B11</f>
        <v>-2158508817.000473</v>
      </c>
      <c r="E12" s="18">
        <f>-(E6-D6)*Assumptions!B11</f>
        <v>-2225902060.492859</v>
      </c>
      <c r="F12" s="18">
        <f>-(F6-E6)*Assumptions!B11</f>
        <v>-2295399464.6134644</v>
      </c>
    </row>
    <row r="13" spans="1:6" x14ac:dyDescent="0.25">
      <c r="A13" s="19" t="s">
        <v>49</v>
      </c>
      <c r="B13" s="20">
        <f>B9+B10+B11+B12</f>
        <v>13226944948.641188</v>
      </c>
      <c r="C13" s="20">
        <f>C9+C10+C11+C12</f>
        <v>13639918347.018463</v>
      </c>
      <c r="D13" s="20">
        <f>D9+D10+D11+D12</f>
        <v>14065785654.64157</v>
      </c>
      <c r="E13" s="20">
        <f>E9+E10+E11+E12</f>
        <v>14504949446.824757</v>
      </c>
      <c r="F13" s="20">
        <f>F9+F10+F11+F12</f>
        <v>14957824868.14124</v>
      </c>
    </row>
    <row r="14" spans="1:6" x14ac:dyDescent="0.25">
      <c r="A14" t="s">
        <v>50</v>
      </c>
      <c r="B14" s="21">
        <f>1/(1+Assumptions!$B$26)^(1-0.5*Assumptions!$B$32)</f>
        <v>0.9656247893873537</v>
      </c>
      <c r="C14" s="21">
        <f>1/(1+Assumptions!$B$26)^(2-0.5*Assumptions!$B$32)</f>
        <v>0.9003787138329581</v>
      </c>
      <c r="D14" s="21">
        <f>1/(1+Assumptions!$B$26)^(3-0.5*Assumptions!$B$32)</f>
        <v>0.8395412350979864</v>
      </c>
      <c r="E14" s="21">
        <f>1/(1+Assumptions!$B$26)^(4-0.5*Assumptions!$B$32)</f>
        <v>0.7828144697350267</v>
      </c>
      <c r="F14" s="21">
        <f>1/(1+Assumptions!$B$26)^(5-0.5*Assumptions!$B$32)</f>
        <v>0.7299206619136566</v>
      </c>
    </row>
    <row r="15" spans="1:6" x14ac:dyDescent="0.25">
      <c r="A15" s="19" t="s">
        <v>51</v>
      </c>
      <c r="B15" s="20">
        <f>B13*B14</f>
        <v>12772265930.26977</v>
      </c>
      <c r="C15" s="20">
        <f>C13*C14</f>
        <v>12281092138.075052</v>
      </c>
      <c r="D15" s="20">
        <f>D13*D14</f>
        <v>11808807061.121323</v>
      </c>
      <c r="E15" s="20">
        <f>E13*E14</f>
        <v>11354684309.74949</v>
      </c>
      <c r="F15" s="20">
        <f>F13*F14</f>
        <v>10918025428.542206</v>
      </c>
    </row>
    <row r="17" spans="1:2" x14ac:dyDescent="0.25">
      <c r="A17" s="22" t="s">
        <v>52</v>
      </c>
      <c r="B17" s="23">
        <f>SUM(B15:F15)</f>
        <v>59134874867.757835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14957824868.14124</v>
      </c>
    </row>
    <row r="5" spans="1:2" x14ac:dyDescent="0.25">
      <c r="A5" t="s">
        <v>56</v>
      </c>
      <c r="B5" s="18">
        <f>IF(Assumptions!$B$33=0,B4,B4-Forecast!F11-Forecast!F10-Forecast!F12)</f>
        <v>19012519944.219276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0.12723858827191845</v>
      </c>
    </row>
    <row r="7" spans="1:2" x14ac:dyDescent="0.25">
      <c r="A7" t="s">
        <v>58</v>
      </c>
      <c r="B7" s="18">
        <f>-MAX(Forecast!F9,0)*B6</f>
        <v>-2419126197.1941543</v>
      </c>
    </row>
    <row r="8" spans="1:2" x14ac:dyDescent="0.25">
      <c r="A8" t="s">
        <v>59</v>
      </c>
      <c r="B8" s="18">
        <f>IF(OR(Assumptions!$B$33=0,Assumptions!B12&lt;=0),B5,MAX(B5+B7,0))</f>
        <v>16593393747.025122</v>
      </c>
    </row>
    <row r="9" spans="1:2" x14ac:dyDescent="0.25">
      <c r="A9" t="s">
        <v>60</v>
      </c>
      <c r="B9" s="18">
        <f>B8*(1+Assumptions!B12)/(Assumptions!B26-Assumptions!B12)</f>
        <v>358330897190.05896</v>
      </c>
    </row>
    <row r="10" spans="1:2" x14ac:dyDescent="0.25">
      <c r="A10" t="s">
        <v>61</v>
      </c>
      <c r="B10" s="18">
        <f>B9/(1+Assumptions!B26)^(5-0.5*Assumptions!B32)</f>
        <v>261553125661.08224</v>
      </c>
    </row>
    <row r="11" spans="1:2" x14ac:dyDescent="0.25">
      <c r="A11" t="s">
        <v>62</v>
      </c>
      <c r="B11" s="18">
        <f>Forecast!B17+B10</f>
        <v>320688000528.8401</v>
      </c>
    </row>
    <row r="12" spans="1:2" x14ac:dyDescent="0.25">
      <c r="A12" t="s">
        <v>63</v>
      </c>
      <c r="B12" s="18">
        <f>-Assumptions!B30</f>
        <v>-34774000000</v>
      </c>
    </row>
    <row r="13" spans="1:2" x14ac:dyDescent="0.25">
      <c r="A13" t="s">
        <v>64</v>
      </c>
      <c r="B13" s="18">
        <f>B11+B12</f>
        <v>285914000528.8401</v>
      </c>
    </row>
    <row r="14" spans="1:2" x14ac:dyDescent="0.25">
      <c r="A14" s="19" t="s">
        <v>65</v>
      </c>
      <c r="B14" s="24">
        <f>B13/Assumptions!B31</f>
        <v>114.04627065370566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24695594513.720043</v>
      </c>
    </row>
    <row r="18" spans="1:2" x14ac:dyDescent="0.25">
      <c r="A18" t="s">
        <v>60</v>
      </c>
      <c r="B18" s="18">
        <f>B17*Assumptions!B13</f>
        <v>350950063048.5719</v>
      </c>
    </row>
    <row r="19" spans="1:2" x14ac:dyDescent="0.25">
      <c r="A19" t="s">
        <v>61</v>
      </c>
      <c r="B19" s="18">
        <f>B18/(1+Assumptions!B26)^(5-0.5*Assumptions!B32)</f>
        <v>256165702319.0531</v>
      </c>
    </row>
    <row r="20" spans="1:2" x14ac:dyDescent="0.25">
      <c r="A20" t="s">
        <v>62</v>
      </c>
      <c r="B20" s="18">
        <f>Forecast!B17+B19</f>
        <v>315300577186.8109</v>
      </c>
    </row>
    <row r="21" spans="1:2" x14ac:dyDescent="0.25">
      <c r="A21" t="s">
        <v>63</v>
      </c>
      <c r="B21" s="18">
        <f>-Assumptions!B30</f>
        <v>-34774000000</v>
      </c>
    </row>
    <row r="22" spans="1:2" x14ac:dyDescent="0.25">
      <c r="A22" t="s">
        <v>64</v>
      </c>
      <c r="B22" s="18">
        <f>B20+B21</f>
        <v>280526577186.8109</v>
      </c>
    </row>
    <row r="23" spans="1:2" x14ac:dyDescent="0.25">
      <c r="A23" s="19" t="s">
        <v>65</v>
      </c>
      <c r="B23" s="25">
        <f>B22/Assumptions!B31</f>
        <v>111.89731838325126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146.87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114.04627065370566</v>
      </c>
    </row>
    <row r="29" spans="1:2" x14ac:dyDescent="0.25">
      <c r="A29" s="19" t="s">
        <v>73</v>
      </c>
      <c r="B29" s="12">
        <f>B28/B26-1</f>
        <v>-0.22348831855582718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0.052465</v>
      </c>
      <c r="B5" s="31">
        <v>161.59150941724732</v>
      </c>
      <c r="C5" s="31">
        <v>180.85118271602096</v>
      </c>
      <c r="D5" s="31">
        <v>207.0674746139171</v>
      </c>
      <c r="E5" s="31">
        <v>244.88535635450768</v>
      </c>
      <c r="F5" s="31">
        <v>304.2689760992823</v>
      </c>
    </row>
    <row r="6" spans="1:6" x14ac:dyDescent="0.25">
      <c r="A6" s="30">
        <v>0.062465</v>
      </c>
      <c r="B6" s="31">
        <v>124.30456426348219</v>
      </c>
      <c r="C6" s="31">
        <v>134.83122319454705</v>
      </c>
      <c r="D6" s="31">
        <v>148.128394943201</v>
      </c>
      <c r="E6" s="31">
        <v>165.47615627715814</v>
      </c>
      <c r="F6" s="31">
        <v>189.08673526048364</v>
      </c>
    </row>
    <row r="7" spans="1:6" x14ac:dyDescent="0.25">
      <c r="A7" s="30">
        <v>0.072465</v>
      </c>
      <c r="B7" s="31">
        <v>100.0268828212804</v>
      </c>
      <c r="C7" s="31">
        <v>106.38214476935651</v>
      </c>
      <c r="D7" s="32">
        <v>114.0466650496566</v>
      </c>
      <c r="E7" s="31">
        <v>123.4829156975831</v>
      </c>
      <c r="F7" s="31">
        <v>135.40025092411676</v>
      </c>
    </row>
    <row r="8" spans="1:6" x14ac:dyDescent="0.25">
      <c r="A8" s="30">
        <v>0.082465</v>
      </c>
      <c r="B8" s="31">
        <v>82.97192347087572</v>
      </c>
      <c r="C8" s="31">
        <v>87.06376613042734</v>
      </c>
      <c r="D8" s="31">
        <v>91.84415617377118</v>
      </c>
      <c r="E8" s="31">
        <v>97.5099526642235</v>
      </c>
      <c r="F8" s="31">
        <v>104.34096381218411</v>
      </c>
    </row>
    <row r="9" spans="1:6" x14ac:dyDescent="0.25">
      <c r="A9" s="30">
        <v>0.092465</v>
      </c>
      <c r="B9" s="31">
        <v>70.34119246548788</v>
      </c>
      <c r="C9" s="31">
        <v>73.09489018670017</v>
      </c>
      <c r="D9" s="31">
        <v>76.23754059182818</v>
      </c>
      <c r="E9" s="31">
        <v>79.86254462954294</v>
      </c>
      <c r="F9" s="31">
        <v>84.09581032192403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65011000000</v>
      </c>
      <c r="C5" s="18">
        <v>64168000000</v>
      </c>
      <c r="D5" s="18">
        <v>60115000000</v>
      </c>
      <c r="E5" s="18">
        <v>59283000000</v>
      </c>
      <c r="F5" s="8" t="s">
        <v>84</v>
      </c>
    </row>
    <row r="6" spans="1:6" x14ac:dyDescent="0.25">
      <c r="A6" t="s">
        <v>44</v>
      </c>
      <c r="B6" s="18">
        <v>22107000000</v>
      </c>
      <c r="C6" s="18">
        <v>20221000000</v>
      </c>
      <c r="D6" s="18">
        <v>2954000000</v>
      </c>
      <c r="E6" s="18">
        <v>18282000000</v>
      </c>
      <c r="F6" s="8" t="s">
        <v>85</v>
      </c>
    </row>
    <row r="7" spans="1:6" x14ac:dyDescent="0.25">
      <c r="A7" t="s">
        <v>86</v>
      </c>
      <c r="B7" s="18">
        <v>5838000000</v>
      </c>
      <c r="C7" s="18">
        <v>4499000000</v>
      </c>
      <c r="D7" s="18">
        <v>3872000000</v>
      </c>
      <c r="E7" s="18">
        <v>3909000000</v>
      </c>
      <c r="F7" s="8" t="s">
        <v>87</v>
      </c>
    </row>
    <row r="8" spans="1:6" x14ac:dyDescent="0.25">
      <c r="A8" t="s">
        <v>88</v>
      </c>
      <c r="B8" s="18">
        <v>4112000000</v>
      </c>
      <c r="C8" s="18">
        <v>3372000000</v>
      </c>
      <c r="D8" s="18">
        <v>3863000000</v>
      </c>
      <c r="E8" s="18">
        <v>4388000000</v>
      </c>
      <c r="F8" s="8" t="s">
        <v>89</v>
      </c>
    </row>
    <row r="9" spans="1:6" x14ac:dyDescent="0.25">
      <c r="A9" t="s">
        <v>90</v>
      </c>
      <c r="B9" s="18">
        <v>6976000000</v>
      </c>
      <c r="C9" s="18">
        <v>3667000000</v>
      </c>
      <c r="D9" s="18">
        <v>2205000000</v>
      </c>
      <c r="E9" s="18">
        <v>2782000000</v>
      </c>
      <c r="F9" s="8" t="s">
        <v>91</v>
      </c>
    </row>
    <row r="10" spans="1:6" x14ac:dyDescent="0.25">
      <c r="A10" t="s">
        <v>92</v>
      </c>
      <c r="B10" s="18">
        <v>49339000000</v>
      </c>
      <c r="C10" s="18">
        <v>37111000000</v>
      </c>
      <c r="D10" s="18">
        <v>35055000000</v>
      </c>
      <c r="E10" s="18">
        <v>30691000000</v>
      </c>
      <c r="F10" s="8" t="s">
        <v>93</v>
      </c>
    </row>
    <row r="11" spans="1:6" x14ac:dyDescent="0.25">
      <c r="A11" t="s">
        <v>94</v>
      </c>
      <c r="B11" s="18">
        <v>14565000000</v>
      </c>
      <c r="C11" s="18">
        <v>13689000000</v>
      </c>
      <c r="D11" s="18">
        <v>7093000000</v>
      </c>
      <c r="E11" s="18">
        <v>13192000000</v>
      </c>
      <c r="F11" s="8" t="s">
        <v>95</v>
      </c>
    </row>
    <row r="12" spans="1:6" x14ac:dyDescent="0.25">
      <c r="A12" t="s">
        <v>32</v>
      </c>
      <c r="B12" s="34">
        <v>2507000000</v>
      </c>
      <c r="C12" s="34">
        <v>2541000000</v>
      </c>
      <c r="D12" s="34">
        <v>2607142857</v>
      </c>
      <c r="E12" s="34">
        <v>2542000000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2026-09-19T00:07:13Z</dcterms:modified>
</cp:coreProperties>
</file>