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<sst xmlns="http://schemas.openxmlformats.org/spreadsheetml/2006/main" count="119" uniqueCount="106">
  <si>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Merck &amp; Co., Inc. (MRK)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</si>
  <si>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</si>
  <si>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</si>
  <si>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</si>
  <si>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</si>
  <si>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</si>
  <si>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</si>
  <si>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</si>
  <si>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</si>
  <si>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</si>
  <si>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</si>
  <si>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</si>
  <si>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</si>
  <si>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</si>
  <si>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</si>
  <si>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</si>
  <si>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</si>
  <si>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</si>
  <si>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</si>
  <si>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</si>
  <si>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</si>
  <si>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</si>
  <si>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</si>
  <si>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</si>
  <si>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16.3x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</si>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</sst>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0.03372711648797888</v>
      </c>
    </row>
    <row r="7" spans="1:2" x14ac:dyDescent="0.25">
      <c r="A7" t="s">
        <v>4</v>
      </c>
      <c r="B7" s="5">
        <v>0.2531751044904946</v>
      </c>
    </row>
    <row r="8" spans="1:2" x14ac:dyDescent="0.25">
      <c r="A8" t="s">
        <v>5</v>
      </c>
      <c r="B8" s="5">
        <v>0.13684953978329933</v>
      </c>
    </row>
    <row r="9" spans="1:2" x14ac:dyDescent="0.25">
      <c r="A9" t="s">
        <v>6</v>
      </c>
      <c r="B9" s="5">
        <v>0.0725652140378797</v>
      </c>
    </row>
    <row r="10" spans="1:3" x14ac:dyDescent="0.25">
      <c r="A10" t="s">
        <v>7</v>
      </c>
      <c r="B10" s="5">
        <v>0.06351960162436934</v>
      </c>
      <c r="C10" s="6" t="s">
        <v>8</v>
      </c>
    </row>
    <row r="11" spans="1:2" x14ac:dyDescent="0.25">
      <c r="A11" t="s">
        <v>9</v>
      </c>
      <c r="B11" s="5">
        <v>0.2022423531351719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14.444998904991948</v>
      </c>
    </row>
    <row r="14" spans="1:3" x14ac:dyDescent="0.25">
      <c r="A14" t="s">
        <v>12</v>
      </c>
      <c r="B14" s="5">
        <v>0.19648127458450826</v>
      </c>
      <c r="C14" s="6" t="s">
        <v>13</v>
      </c>
    </row>
    <row r="15" spans="1:3" x14ac:dyDescent="0.25">
      <c r="A15" t="s">
        <v>14</v>
      </c>
      <c r="B15" s="5">
        <v>0.03520080351741068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0.47873999999999994</v>
      </c>
      <c r="C19" s="6" t="s">
        <v>21</v>
      </c>
    </row>
    <row r="20" spans="1:2" x14ac:dyDescent="0.25">
      <c r="A20" t="s">
        <v>22</v>
      </c>
      <c r="B20" s="9">
        <f>B17+B19*B18</f>
        <v>0.06919070199999999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368891494400</v>
      </c>
    </row>
    <row r="23" spans="1:2" x14ac:dyDescent="0.25">
      <c r="A23" t="s">
        <v>26</v>
      </c>
      <c r="B23" s="10">
        <v>49339000000</v>
      </c>
    </row>
    <row r="24" spans="1:2" x14ac:dyDescent="0.25">
      <c r="A24" t="s">
        <v>27</v>
      </c>
      <c r="B24" s="9">
        <f>B22/(B22+B23)</f>
        <v>0.8820291665465894</v>
      </c>
    </row>
    <row r="25" spans="1:2" x14ac:dyDescent="0.25">
      <c r="A25" t="s">
        <v>28</v>
      </c>
      <c r="B25" s="9">
        <f>1-B24</f>
        <v>0.11797083345341064</v>
      </c>
    </row>
    <row r="26" spans="1:2" x14ac:dyDescent="0.25">
      <c r="A26" t="s">
        <v>29</v>
      </c>
      <c r="B26" s="11">
        <f>B24*B20+B25*B21*(1-B8)</f>
        <v>0.06641891632001751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65011000000</v>
      </c>
      <c r="C29" s="6" t="s">
        <v>32</v>
      </c>
    </row>
    <row r="30" spans="1:2" x14ac:dyDescent="0.25">
      <c r="A30" t="s">
        <v>33</v>
      </c>
      <c r="B30" s="10">
        <v>34774000000</v>
      </c>
    </row>
    <row r="31" spans="1:2" x14ac:dyDescent="0.25">
      <c r="A31" t="s">
        <v>34</v>
      </c>
      <c r="B31" s="12">
        <v>2507000000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0.03372711648797888</v>
      </c>
      <c r="C5" s="5">
        <v>0.03516059362383661</v>
      </c>
      <c r="D5" s="5">
        <v>0.03389051942085704</v>
      </c>
      <c r="E5" s="5">
        <v>0.03262044521787746</v>
      </c>
      <c r="F5" s="5">
        <v>0.03135037101489788</v>
      </c>
      <c r="G5" s="5">
        <v>0.030080296811918306</v>
      </c>
      <c r="H5" s="5">
        <v>0.02881022260893873</v>
      </c>
      <c r="I5" s="5">
        <v>0.027540148405959156</v>
      </c>
      <c r="J5" s="5">
        <v>0.02627007420297958</v>
      </c>
      <c r="K5" s="5">
        <v>0.025</v>
      </c>
    </row>
    <row r="6" spans="1:11" x14ac:dyDescent="0.25">
      <c r="A6" t="s">
        <v>50</v>
      </c>
      <c r="B6" s="18">
        <f>Assumptions!B29*(1+B5)</f>
        <v>67203633569.99999</v>
      </c>
      <c r="C6" s="18">
        <f>B6*(1+C5)</f>
        <v>69566553219.99998</v>
      </c>
      <c r="D6" s="18">
        <f>C6*(1+D5)</f>
        <v>71924199842.94447</v>
      </c>
      <c r="E6" s="18">
        <f>D6*(1+E5)</f>
        <v>74270399263.76093</v>
      </c>
      <c r="F6" s="18">
        <f>E6*(1+F5)</f>
        <v>76598803836.10443</v>
      </c>
      <c r="G6" s="18">
        <f>F6*(1+G5)</f>
        <v>78902918590.93236</v>
      </c>
      <c r="H6" s="18">
        <f>G6*(1+H5)</f>
        <v>81176129240.0321</v>
      </c>
      <c r="I6" s="18">
        <f>H6*(1+I5)</f>
        <v>83411731886.32391</v>
      </c>
      <c r="J6" s="18">
        <f>I6*(1+J5)</f>
        <v>85602964272.37668</v>
      </c>
      <c r="K6" s="18">
        <f>J6*(1+K5)</f>
        <v>87743038379.18608</v>
      </c>
    </row>
    <row r="7" spans="1:11" x14ac:dyDescent="0.25">
      <c r="A7" t="s">
        <v>4</v>
      </c>
      <c r="B7" s="9">
        <f>Assumptions!B7</f>
        <v>0.2531751044904946</v>
      </c>
      <c r="C7" s="9">
        <f>Assumptions!B7</f>
        <v>0.2531751044904946</v>
      </c>
      <c r="D7" s="9">
        <f>Assumptions!B7</f>
        <v>0.2531751044904946</v>
      </c>
      <c r="E7" s="9">
        <f>Assumptions!B7</f>
        <v>0.2531751044904946</v>
      </c>
      <c r="F7" s="9">
        <f>Assumptions!B7</f>
        <v>0.2531751044904946</v>
      </c>
      <c r="G7" s="9">
        <f>Assumptions!B7</f>
        <v>0.2531751044904946</v>
      </c>
      <c r="H7" s="9">
        <f>Assumptions!B7</f>
        <v>0.2531751044904946</v>
      </c>
      <c r="I7" s="9">
        <f>Assumptions!B7</f>
        <v>0.2531751044904946</v>
      </c>
      <c r="J7" s="9">
        <f>Assumptions!B7</f>
        <v>0.2531751044904946</v>
      </c>
      <c r="K7" s="9">
        <f>Assumptions!B7</f>
        <v>0.2531751044904946</v>
      </c>
    </row>
    <row r="8" spans="1:11" x14ac:dyDescent="0.25">
      <c r="A8" t="s">
        <v>51</v>
      </c>
      <c r="B8" s="18">
        <f>B6*B7</f>
        <v>17014286951.225657</v>
      </c>
      <c r="C8" s="18">
        <f>C6*C7</f>
        <v>17612519380.517048</v>
      </c>
      <c r="D8" s="18">
        <f>D6*D7</f>
        <v>18209416810.63268</v>
      </c>
      <c r="E8" s="18">
        <f>E6*E7</f>
        <v>18803416094.153423</v>
      </c>
      <c r="F8" s="18">
        <f>F6*F7</f>
        <v>19392910165.052635</v>
      </c>
      <c r="G8" s="18">
        <f>G6*G7</f>
        <v>19976254658.86429</v>
      </c>
      <c r="H8" s="18">
        <f>H6*H7</f>
        <v>20551775002.47902</v>
      </c>
      <c r="I8" s="18">
        <f>I6*I7</f>
        <v>21117773936.053173</v>
      </c>
      <c r="J8" s="18">
        <f>J6*J7</f>
        <v>21672539424.355038</v>
      </c>
      <c r="K8" s="18">
        <f>K6*K7</f>
        <v>22214352909.963913</v>
      </c>
    </row>
    <row r="9" spans="1:11" x14ac:dyDescent="0.25">
      <c r="A9" t="s">
        <v>52</v>
      </c>
      <c r="B9" s="18">
        <f>B8*(1-Assumptions!B8)</f>
        <v>14685889612.209429</v>
      </c>
      <c r="C9" s="18">
        <f>C8*(1-Assumptions!B8)</f>
        <v>15202254208.868849</v>
      </c>
      <c r="D9" s="18">
        <f>D8*(1-Assumptions!B8)</f>
        <v>15717466500.375322</v>
      </c>
      <c r="E9" s="18">
        <f>E8*(1-Assumptions!B8)</f>
        <v>16230177255.314642</v>
      </c>
      <c r="F9" s="18">
        <f>F8*(1-Assumptions!B8)</f>
        <v>16738999333.906313</v>
      </c>
      <c r="G9" s="18">
        <f>G8*(1-Assumptions!B8)</f>
        <v>17242513402.20472</v>
      </c>
      <c r="H9" s="18">
        <f>H8*(1-Assumptions!B8)</f>
        <v>17739274051.659847</v>
      </c>
      <c r="I9" s="18">
        <f>I8*(1-Assumptions!B8)</f>
        <v>18227816291.65654</v>
      </c>
      <c r="J9" s="18">
        <f>J8*(1-Assumptions!B8)</f>
        <v>18706662378.19664</v>
      </c>
      <c r="K9" s="18">
        <f>K8*(1-Assumptions!B8)</f>
        <v>19174328937.651554</v>
      </c>
    </row>
    <row r="10" spans="1:11" x14ac:dyDescent="0.25">
      <c r="A10" t="s">
        <v>53</v>
      </c>
      <c r="B10" s="18">
        <f>B6*Assumptions!B9</f>
        <v>4876646054.130287</v>
      </c>
      <c r="C10" s="18">
        <f>C6*Assumptions!B9</f>
        <v>5048111824.286848</v>
      </c>
      <c r="D10" s="18">
        <f>D6*Assumptions!B9</f>
        <v>5219194956.1065</v>
      </c>
      <c r="E10" s="18">
        <f>E6*Assumptions!B9</f>
        <v>5389447419.253594</v>
      </c>
      <c r="F10" s="18">
        <f>F6*Assumptions!B9</f>
        <v>5558408595.412478</v>
      </c>
      <c r="G10" s="18">
        <f>G6*Assumptions!B9</f>
        <v>5725607175.764404</v>
      </c>
      <c r="H10" s="18">
        <f>H6*Assumptions!B9</f>
        <v>5890563193.069514</v>
      </c>
      <c r="I10" s="18">
        <f>I6*Assumptions!B9</f>
        <v>6052790177.60133</v>
      </c>
      <c r="J10" s="18">
        <f>J6*Assumptions!B9</f>
        <v>6211797424.7019825</v>
      </c>
      <c r="K10" s="18">
        <f>K6*Assumptions!B9</f>
        <v>6367092360.319531</v>
      </c>
    </row>
    <row r="11" spans="1:11" x14ac:dyDescent="0.25">
      <c r="A11" t="s">
        <v>54</v>
      </c>
      <c r="B11" s="18">
        <f>-B6*B19</f>
        <v>-4268748032.0764937</v>
      </c>
      <c r="C11" s="18">
        <f>-C6*C19</f>
        <v>-4446589134.182573</v>
      </c>
      <c r="D11" s="18">
        <f>-D6*D19</f>
        <v>-4625976178.006957</v>
      </c>
      <c r="E11" s="18">
        <f>-E6*E19</f>
        <v>-4806503283.892786</v>
      </c>
      <c r="F11" s="18">
        <f>-F6*F19</f>
        <v>-4987743425.312011</v>
      </c>
      <c r="G11" s="18">
        <f>-G6*G19</f>
        <v>-5169249795.984844</v>
      </c>
      <c r="H11" s="18">
        <f>-H6*H19</f>
        <v>-5350557361.847024</v>
      </c>
      <c r="I11" s="18">
        <f>-I6*I19</f>
        <v>-5531184593.2183695</v>
      </c>
      <c r="J11" s="18">
        <f>-J6*J19</f>
        <v>-5710635370.693466</v>
      </c>
      <c r="K11" s="18">
        <f>-K6*K19</f>
        <v>-5888401056.436195</v>
      </c>
    </row>
    <row r="12" spans="1:11" x14ac:dyDescent="0.25">
      <c r="A12" t="s">
        <v>55</v>
      </c>
      <c r="B12" s="18">
        <f>-(B6-Assumptions!B29)*Assumptions!B11</f>
        <v>-443443372.7599711</v>
      </c>
      <c r="C12" s="18">
        <f>-(C6-B6)*Assumptions!B11</f>
        <v>-477882430.28533524</v>
      </c>
      <c r="D12" s="18">
        <f>-(D6-C6)*Assumptions!B11</f>
        <v>-476816000.8854847</v>
      </c>
      <c r="E12" s="18">
        <f>-(E6-D6)*Assumptions!B11</f>
        <v>-474500891.7902966</v>
      </c>
      <c r="F12" s="18">
        <f>-(F6-E6)*Assumptions!B11</f>
        <v>-470902019.7614442</v>
      </c>
      <c r="G12" s="18">
        <f>-(G6-F6)*Assumptions!B11</f>
        <v>-465989589.90986955</v>
      </c>
      <c r="H12" s="18">
        <f>-(H6-G6)*Assumptions!B11</f>
        <v>-459739470.8458643</v>
      </c>
      <c r="I12" s="18">
        <f>-(I6-H6)*Assumptions!B11</f>
        <v>-452133539.8612728</v>
      </c>
      <c r="J12" s="18">
        <f>-(J6-I6)*Assumptions!B11</f>
        <v>-443159994.0213086</v>
      </c>
      <c r="K12" s="18">
        <f>-(K6-J6)*Assumptions!B11</f>
        <v>-432813623.2447847</v>
      </c>
    </row>
    <row r="13" spans="1:11" x14ac:dyDescent="0.25">
      <c r="A13" s="19" t="s">
        <v>56</v>
      </c>
      <c r="B13" s="20">
        <f>B9+B10+B11+B12</f>
        <v>14850344261.503248</v>
      </c>
      <c r="C13" s="20">
        <f>C9+C10+C11+C12</f>
        <v>15325894468.687788</v>
      </c>
      <c r="D13" s="20">
        <f>D9+D10+D11+D12</f>
        <v>15833869277.58938</v>
      </c>
      <c r="E13" s="20">
        <f>E9+E10+E11+E12</f>
        <v>16338620498.885155</v>
      </c>
      <c r="F13" s="20">
        <f>F9+F10+F11+F12</f>
        <v>16838762484.245335</v>
      </c>
      <c r="G13" s="20">
        <f>G9+G10+G11+G12</f>
        <v>17332881192.07441</v>
      </c>
      <c r="H13" s="20">
        <f>H9+H10+H11+H12</f>
        <v>17819540412.036476</v>
      </c>
      <c r="I13" s="20">
        <f>I9+I10+I11+I12</f>
        <v>18297288336.17823</v>
      </c>
      <c r="J13" s="20">
        <f>J9+J10+J11+J12</f>
        <v>18764664438.183846</v>
      </c>
      <c r="K13" s="20">
        <f>K9+K10+K11+K12</f>
        <v>19220206618.290104</v>
      </c>
    </row>
    <row r="14" spans="1:11" x14ac:dyDescent="0.25">
      <c r="A14" t="s">
        <v>57</v>
      </c>
      <c r="B14" s="21">
        <f>1/(1+Assumptions!$B$26)^(1-0.5*Assumptions!$B$32)</f>
        <v>0.968358301413074</v>
      </c>
      <c r="C14" s="21">
        <f>1/(1+Assumptions!$B$26)^(2-0.5*Assumptions!$B$32)</f>
        <v>0.9080468159310887</v>
      </c>
      <c r="D14" s="21">
        <f>1/(1+Assumptions!$B$26)^(3-0.5*Assumptions!$B$32)</f>
        <v>0.8514916624552789</v>
      </c>
      <c r="E14" s="21">
        <f>1/(1+Assumptions!$B$26)^(4-0.5*Assumptions!$B$32)</f>
        <v>0.7984588883640528</v>
      </c>
      <c r="F14" s="21">
        <f>1/(1+Assumptions!$B$26)^(5-0.5*Assumptions!$B$32)</f>
        <v>0.7487291121198062</v>
      </c>
      <c r="G14" s="21">
        <f>1/(1+Assumptions!$B$26)^(6-0.5*Assumptions!$B$32)</f>
        <v>0.7020966157497558</v>
      </c>
      <c r="H14" s="21">
        <f>1/(1+Assumptions!$B$26)^(7-0.5*Assumptions!$B$32)</f>
        <v>0.6583684938490592</v>
      </c>
      <c r="I14" s="21">
        <f>1/(1+Assumptions!$B$26)^(8-0.5*Assumptions!$B$32)</f>
        <v>0.6173638555858961</v>
      </c>
      <c r="J14" s="21">
        <f>1/(1+Assumptions!$B$26)^(9-0.5*Assumptions!$B$32)</f>
        <v>0.5789130764074274</v>
      </c>
      <c r="K14" s="21">
        <f>1/(1+Assumptions!$B$26)^(10-0.5*Assumptions!$B$32)</f>
        <v>0.5428570963511524</v>
      </c>
    </row>
    <row r="15" spans="1:11" x14ac:dyDescent="0.25">
      <c r="A15" s="19" t="s">
        <v>58</v>
      </c>
      <c r="B15" s="20">
        <f>B13*B14</f>
        <v>14380454144.468676</v>
      </c>
      <c r="C15" s="20">
        <f>C13*C14</f>
        <v>13916629673.58783</v>
      </c>
      <c r="D15" s="20">
        <f>D13*D14</f>
        <v>13482407674.274147</v>
      </c>
      <c r="E15" s="20">
        <f>E13*E14</f>
        <v>13045716760.941965</v>
      </c>
      <c r="F15" s="20">
        <f>F13*F14</f>
        <v>12607671684.02531</v>
      </c>
      <c r="G15" s="20">
        <f>G13*G14</f>
        <v>12169357226.148035</v>
      </c>
      <c r="H15" s="20">
        <f>H13*H14</f>
        <v>11731823982.154898</v>
      </c>
      <c r="I15" s="20">
        <f>I13*I14</f>
        <v>11296084473.989838</v>
      </c>
      <c r="J15" s="20">
        <f>J13*J14</f>
        <v>10863109617.66206</v>
      </c>
      <c r="K15" s="20">
        <f>K13*K14</f>
        <v>10433825556.07417</v>
      </c>
    </row>
    <row r="17" spans="1:2" x14ac:dyDescent="0.25">
      <c r="A17" s="22" t="s">
        <v>59</v>
      </c>
      <c r="B17" s="23">
        <f>SUM(B15:K15)</f>
        <v>123927080793.32693</v>
      </c>
    </row>
    <row r="19" spans="1:11" x14ac:dyDescent="0.25">
      <c r="A19" t="s">
        <v>7</v>
      </c>
      <c r="B19" s="9">
        <f>Assumptions!$B$10+($B$20-Assumptions!$B$10)*0/9</f>
        <v>0.06351960162436934</v>
      </c>
      <c r="C19" s="9">
        <f>Assumptions!$B$10+($B$20-Assumptions!$B$10)*1/9</f>
        <v>0.06391849140664632</v>
      </c>
      <c r="D19" s="9">
        <f>Assumptions!$B$10+($B$20-Assumptions!$B$10)*2/9</f>
        <v>0.0643173811889233</v>
      </c>
      <c r="E19" s="9">
        <f>Assumptions!$B$10+($B$20-Assumptions!$B$10)*3/9</f>
        <v>0.06471627097120028</v>
      </c>
      <c r="F19" s="9">
        <f>Assumptions!$B$10+($B$20-Assumptions!$B$10)*4/9</f>
        <v>0.06511516075347726</v>
      </c>
      <c r="G19" s="9">
        <f>Assumptions!$B$10+($B$20-Assumptions!$B$10)*5/9</f>
        <v>0.06551405053575422</v>
      </c>
      <c r="H19" s="9">
        <f>Assumptions!$B$10+($B$20-Assumptions!$B$10)*6/9</f>
        <v>0.0659129403180312</v>
      </c>
      <c r="I19" s="9">
        <f>Assumptions!$B$10+($B$20-Assumptions!$B$10)*7/9</f>
        <v>0.06631183010030818</v>
      </c>
      <c r="J19" s="9">
        <f>Assumptions!$B$10+($B$20-Assumptions!$B$10)*8/9</f>
        <v>0.06671071988258516</v>
      </c>
      <c r="K19" s="9">
        <f>Assumptions!$B$10+($B$20-Assumptions!$B$10)*9/9</f>
        <v>0.06710960966486214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0.06710960966486214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19220206618.290104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22004139156.641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0.12723858827191845</v>
      </c>
    </row>
    <row r="7" spans="1:2" x14ac:dyDescent="0.25">
      <c r="A7" t="s">
        <v>66</v>
      </c>
      <c r="B7" s="18">
        <f>-MAX(B5,0)*B6</f>
        <v>-2799775602.429843</v>
      </c>
    </row>
    <row r="8" spans="1:2" x14ac:dyDescent="0.25">
      <c r="A8" t="s">
        <v>67</v>
      </c>
      <c r="B8" s="18">
        <f>IF(OR(Assumptions!$B$33=0,Assumptions!B12&lt;=0),B5,MAX(B5+B7,0))</f>
        <v>19204363554.211155</v>
      </c>
    </row>
    <row r="9" spans="1:2" x14ac:dyDescent="0.25">
      <c r="A9" t="s">
        <v>68</v>
      </c>
      <c r="B9" s="18">
        <f>B8*(1+Assumptions!B12)/(Assumptions!B26-Assumptions!B12)</f>
        <v>475253202932.13586</v>
      </c>
    </row>
    <row r="10" spans="1:2" x14ac:dyDescent="0.25">
      <c r="A10" t="s">
        <v>69</v>
      </c>
      <c r="B10" s="18">
        <f>B9/(1+Assumptions!B26)^(10-0.5*Assumptions!B32)</f>
        <v>257994573775.32428</v>
      </c>
    </row>
    <row r="11" spans="1:2" x14ac:dyDescent="0.25">
      <c r="A11" t="s">
        <v>70</v>
      </c>
      <c r="B11" s="18">
        <f>Forecast!B17+B10</f>
        <v>381921654568.65125</v>
      </c>
    </row>
    <row r="12" spans="1:2" x14ac:dyDescent="0.25">
      <c r="A12" t="s">
        <v>71</v>
      </c>
      <c r="B12" s="18">
        <f>-Assumptions!B30</f>
        <v>-34774000000</v>
      </c>
    </row>
    <row r="13" spans="1:2" x14ac:dyDescent="0.25">
      <c r="A13" t="s">
        <v>72</v>
      </c>
      <c r="B13" s="18">
        <f>B11+B12</f>
        <v>347147654568.65125</v>
      </c>
    </row>
    <row r="14" spans="1:2" x14ac:dyDescent="0.25">
      <c r="A14" s="19" t="s">
        <v>73</v>
      </c>
      <c r="B14" s="24">
        <f>B13/Assumptions!B31</f>
        <v>138.47134206966544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28581445270.283443</v>
      </c>
    </row>
    <row r="18" spans="1:2" x14ac:dyDescent="0.25">
      <c r="A18" t="s">
        <v>68</v>
      </c>
      <c r="B18" s="18">
        <f>B17*Assumptions!B13</f>
        <v>412858945632.3316</v>
      </c>
    </row>
    <row r="19" spans="1:2" x14ac:dyDescent="0.25">
      <c r="A19" t="s">
        <v>69</v>
      </c>
      <c r="B19" s="18">
        <f>B18/(1+Assumptions!B26)^(10-0.5*Assumptions!B32)</f>
        <v>224123408428.56583</v>
      </c>
    </row>
    <row r="20" spans="1:2" x14ac:dyDescent="0.25">
      <c r="A20" t="s">
        <v>70</v>
      </c>
      <c r="B20" s="18">
        <f>Forecast!B17+B19</f>
        <v>348050489221.89276</v>
      </c>
    </row>
    <row r="21" spans="1:2" x14ac:dyDescent="0.25">
      <c r="A21" t="s">
        <v>71</v>
      </c>
      <c r="B21" s="18">
        <f>-Assumptions!B30</f>
        <v>-34774000000</v>
      </c>
    </row>
    <row r="22" spans="1:2" x14ac:dyDescent="0.25">
      <c r="A22" t="s">
        <v>72</v>
      </c>
      <c r="B22" s="18">
        <f>B20+B21</f>
        <v>313276489221.89276</v>
      </c>
    </row>
    <row r="23" spans="1:2" x14ac:dyDescent="0.25">
      <c r="A23" s="19" t="s">
        <v>73</v>
      </c>
      <c r="B23" s="25">
        <f>B22/Assumptions!B31</f>
        <v>124.96070571276137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149.52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138.47134206966544</v>
      </c>
    </row>
    <row r="29" spans="1:2" x14ac:dyDescent="0.25">
      <c r="A29" s="19" t="s">
        <v>81</v>
      </c>
      <c r="B29" s="11">
        <f>B28/B26-1</f>
        <v>-0.07389418091449018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0.046419</v>
      </c>
      <c r="B5" s="31">
        <v>211.96493674477853</v>
      </c>
      <c r="C5" s="31">
        <v>238.8047578633991</v>
      </c>
      <c r="D5" s="31">
        <v>278.4638918287822</v>
      </c>
      <c r="E5" s="31">
        <v>342.65375180259684</v>
      </c>
      <c r="F5" s="31">
        <v>463.59790290669855</v>
      </c>
    </row>
    <row r="6" spans="1:6" x14ac:dyDescent="0.25">
      <c r="A6" s="30">
        <v>0.056419</v>
      </c>
      <c r="B6" s="31">
        <v>157.20017317023502</v>
      </c>
      <c r="C6" s="31">
        <v>169.6242688492043</v>
      </c>
      <c r="D6" s="31">
        <v>186.18828832561678</v>
      </c>
      <c r="E6" s="31">
        <v>209.24276935493836</v>
      </c>
      <c r="F6" s="31">
        <v>243.33306528203252</v>
      </c>
    </row>
    <row r="7" spans="1:6" x14ac:dyDescent="0.25">
      <c r="A7" s="30">
        <v>0.066419</v>
      </c>
      <c r="B7" s="31">
        <v>123.77953269204849</v>
      </c>
      <c r="C7" s="31">
        <v>130.27470765400983</v>
      </c>
      <c r="D7" s="32">
        <v>138.47103918032826</v>
      </c>
      <c r="E7" s="31">
        <v>149.06918759845263</v>
      </c>
      <c r="F7" s="31">
        <v>163.2158238201588</v>
      </c>
    </row>
    <row r="8" spans="1:6" x14ac:dyDescent="0.25">
      <c r="A8" s="30">
        <v>0.076419</v>
      </c>
      <c r="B8" s="31">
        <v>101.27470437576487</v>
      </c>
      <c r="C8" s="31">
        <v>104.89232855555052</v>
      </c>
      <c r="D8" s="31">
        <v>109.3147976135081</v>
      </c>
      <c r="E8" s="31">
        <v>114.80219197301123</v>
      </c>
      <c r="F8" s="31">
        <v>121.74017713837391</v>
      </c>
    </row>
    <row r="9" spans="1:6" x14ac:dyDescent="0.25">
      <c r="A9" s="30">
        <v>0.086419</v>
      </c>
      <c r="B9" s="31">
        <v>85.0982255395292</v>
      </c>
      <c r="C9" s="31">
        <v>87.16724062223867</v>
      </c>
      <c r="D9" s="31">
        <v>89.65336612338301</v>
      </c>
      <c r="E9" s="31">
        <v>92.66749830621619</v>
      </c>
      <c r="F9" s="31">
        <v>96.3636677863731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65011000000</v>
      </c>
      <c r="C5" s="18">
        <v>64168000000</v>
      </c>
      <c r="D5" s="18">
        <v>60115000000</v>
      </c>
      <c r="E5" s="18">
        <v>59283000000</v>
      </c>
      <c r="F5" s="6" t="s">
        <v>91</v>
      </c>
    </row>
    <row r="6" spans="1:6" x14ac:dyDescent="0.25">
      <c r="A6" t="s">
        <v>51</v>
      </c>
      <c r="B6" s="18">
        <v>22107000000</v>
      </c>
      <c r="C6" s="18">
        <v>20221000000</v>
      </c>
      <c r="D6" s="18">
        <v>2954000000</v>
      </c>
      <c r="E6" s="18">
        <v>18282000000</v>
      </c>
      <c r="F6" s="6" t="s">
        <v>92</v>
      </c>
    </row>
    <row r="7" spans="1:6" x14ac:dyDescent="0.25">
      <c r="A7" t="s">
        <v>93</v>
      </c>
      <c r="B7" s="18">
        <v>5838000000</v>
      </c>
      <c r="C7" s="18">
        <v>4499000000</v>
      </c>
      <c r="D7" s="18">
        <v>3872000000</v>
      </c>
      <c r="E7" s="18">
        <v>3909000000</v>
      </c>
      <c r="F7" s="6" t="s">
        <v>94</v>
      </c>
    </row>
    <row r="8" spans="1:6" x14ac:dyDescent="0.25">
      <c r="A8" t="s">
        <v>95</v>
      </c>
      <c r="B8" s="18">
        <v>4112000000</v>
      </c>
      <c r="C8" s="18">
        <v>3372000000</v>
      </c>
      <c r="D8" s="18">
        <v>3863000000</v>
      </c>
      <c r="E8" s="18">
        <v>4388000000</v>
      </c>
      <c r="F8" s="6" t="s">
        <v>96</v>
      </c>
    </row>
    <row r="9" spans="1:6" x14ac:dyDescent="0.25">
      <c r="A9" t="s">
        <v>97</v>
      </c>
      <c r="B9" s="18">
        <v>6976000000</v>
      </c>
      <c r="C9" s="18">
        <v>3667000000</v>
      </c>
      <c r="D9" s="18">
        <v>2205000000</v>
      </c>
      <c r="E9" s="18">
        <v>2782000000</v>
      </c>
      <c r="F9" s="6" t="s">
        <v>98</v>
      </c>
    </row>
    <row r="10" spans="1:6" x14ac:dyDescent="0.25">
      <c r="A10" t="s">
        <v>99</v>
      </c>
      <c r="B10" s="18">
        <v>49339000000</v>
      </c>
      <c r="C10" s="18">
        <v>37111000000</v>
      </c>
      <c r="D10" s="18">
        <v>35055000000</v>
      </c>
      <c r="E10" s="18">
        <v>30691000000</v>
      </c>
      <c r="F10" s="6" t="s">
        <v>100</v>
      </c>
    </row>
    <row r="11" spans="1:6" x14ac:dyDescent="0.25">
      <c r="A11" t="s">
        <v>101</v>
      </c>
      <c r="B11" s="18">
        <v>14565000000</v>
      </c>
      <c r="C11" s="18">
        <v>13689000000</v>
      </c>
      <c r="D11" s="18">
        <v>7093000000</v>
      </c>
      <c r="E11" s="18">
        <v>13192000000</v>
      </c>
      <c r="F11" s="6" t="s">
        <v>102</v>
      </c>
    </row>
    <row r="12" spans="1:6" x14ac:dyDescent="0.25">
      <c r="A12" t="s">
        <v>34</v>
      </c>
      <c r="B12" s="34">
        <v>2507000000</v>
      </c>
      <c r="C12" s="34">
        <v>2541000000</v>
      </c>
      <c r="D12" s="34">
        <v>2607142857</v>
      </c>
      <c r="E12" s="34">
        <v>2542000000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