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<sst xmlns="http://schemas.openxmlformats.org/spreadsheetml/2006/main" count="112" uniqueCount="100">
  <si>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Merck KGaA (MRK.DE)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</si>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</sst>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-0.017237986030507302</v>
      </c>
    </row>
    <row r="7" spans="1:2" x14ac:dyDescent="0.25">
      <c r="A7" t="s">
        <v>5</v>
      </c>
      <c r="B7" s="6">
        <v>0.1866977773207187</v>
      </c>
    </row>
    <row r="8" spans="1:2" x14ac:dyDescent="0.25">
      <c r="A8" t="s">
        <v>6</v>
      </c>
      <c r="B8" s="6">
        <v>0.210939509047038</v>
      </c>
    </row>
    <row r="9" spans="1:2" x14ac:dyDescent="0.25">
      <c r="A9" t="s">
        <v>7</v>
      </c>
      <c r="B9" s="6">
        <v>0.09765821110398953</v>
      </c>
    </row>
    <row r="10" spans="1:2" x14ac:dyDescent="0.25">
      <c r="A10" t="s">
        <v>8</v>
      </c>
      <c r="B10" s="6">
        <v>0.09340506273712133</v>
      </c>
    </row>
    <row r="11" spans="1:2" x14ac:dyDescent="0.25">
      <c r="A11" t="s">
        <v>9</v>
      </c>
      <c r="B11" s="6">
        <v>-0.5706214689265536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10.9944441531229</v>
      </c>
    </row>
    <row r="14" spans="1:3" x14ac:dyDescent="0.25">
      <c r="A14" t="s">
        <v>12</v>
      </c>
      <c r="B14" s="6">
        <v>0.07924614154653001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0.8693500000000001</v>
      </c>
      <c r="C19" s="8" t="s">
        <v>19</v>
      </c>
    </row>
    <row r="20" spans="1:2" x14ac:dyDescent="0.25">
      <c r="A20" t="s">
        <v>20</v>
      </c>
      <c r="B20" s="10">
        <f>B17+B19*B18</f>
        <v>0.078161</v>
      </c>
    </row>
    <row r="21" spans="1:3" x14ac:dyDescent="0.25">
      <c r="A21" t="s">
        <v>21</v>
      </c>
      <c r="B21" s="6">
        <v>0.03473878414255501</v>
      </c>
      <c r="C21" s="8" t="s">
        <v>22</v>
      </c>
    </row>
    <row r="22" spans="1:2" x14ac:dyDescent="0.25">
      <c r="A22" t="s">
        <v>23</v>
      </c>
      <c r="B22" s="11">
        <v>56455909376</v>
      </c>
    </row>
    <row r="23" spans="1:2" x14ac:dyDescent="0.25">
      <c r="A23" t="s">
        <v>24</v>
      </c>
      <c r="B23" s="11">
        <v>11952000000</v>
      </c>
    </row>
    <row r="24" spans="1:2" x14ac:dyDescent="0.25">
      <c r="A24" t="s">
        <v>25</v>
      </c>
      <c r="B24" s="10">
        <f>B22/(B22+B23)</f>
        <v>0.8252833611051239</v>
      </c>
    </row>
    <row r="25" spans="1:2" x14ac:dyDescent="0.25">
      <c r="A25" t="s">
        <v>26</v>
      </c>
      <c r="B25" s="10">
        <f>1-B24</f>
        <v>0.1747166388948761</v>
      </c>
    </row>
    <row r="26" spans="1:2" x14ac:dyDescent="0.25">
      <c r="A26" t="s">
        <v>27</v>
      </c>
      <c r="B26" s="12">
        <f>B24*B20+B25*B21*(1-B8)</f>
        <v>0.06929413093785913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21102000000</v>
      </c>
      <c r="C29" s="8" t="s">
        <v>30</v>
      </c>
    </row>
    <row r="30" spans="1:2" x14ac:dyDescent="0.25">
      <c r="A30" t="s">
        <v>31</v>
      </c>
      <c r="B30" s="11">
        <v>9027000000</v>
      </c>
    </row>
    <row r="31" spans="1:2" x14ac:dyDescent="0.25">
      <c r="A31" t="s">
        <v>32</v>
      </c>
      <c r="B31" s="13">
        <v>434777878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-0.017237986030507302</v>
      </c>
      <c r="C5" s="10">
        <f>Assumptions!B6</f>
        <v>-0.017237986030507302</v>
      </c>
      <c r="D5" s="10">
        <f>Assumptions!B6</f>
        <v>-0.017237986030507302</v>
      </c>
      <c r="E5" s="10">
        <f>Assumptions!B6</f>
        <v>-0.017237986030507302</v>
      </c>
      <c r="F5" s="10">
        <f>Assumptions!B6</f>
        <v>-0.017237986030507302</v>
      </c>
    </row>
    <row r="6" spans="1:6" x14ac:dyDescent="0.25">
      <c r="A6" t="s">
        <v>43</v>
      </c>
      <c r="B6" s="18">
        <f>Assumptions!B29*(1+B5)</f>
        <v>20738244018.784233</v>
      </c>
      <c r="C6" s="18">
        <f>B6*(1+C5)</f>
        <v>20380758458.09118</v>
      </c>
      <c r="D6" s="18">
        <f>C6*(1+D5)</f>
        <v>20029435228.49946</v>
      </c>
      <c r="E6" s="18">
        <f>D6*(1+E5)</f>
        <v>19684168103.831635</v>
      </c>
      <c r="F6" s="18">
        <f>E6*(1+F5)</f>
        <v>19344852689.03563</v>
      </c>
    </row>
    <row r="7" spans="1:6" x14ac:dyDescent="0.25">
      <c r="A7" t="s">
        <v>5</v>
      </c>
      <c r="B7" s="10">
        <f>Assumptions!B7</f>
        <v>0.1866977773207187</v>
      </c>
      <c r="C7" s="10">
        <f>Assumptions!B7</f>
        <v>0.1866977773207187</v>
      </c>
      <c r="D7" s="10">
        <f>Assumptions!B7</f>
        <v>0.1866977773207187</v>
      </c>
      <c r="E7" s="10">
        <f>Assumptions!B7</f>
        <v>0.1866977773207187</v>
      </c>
      <c r="F7" s="10">
        <f>Assumptions!B7</f>
        <v>0.1866977773207187</v>
      </c>
    </row>
    <row r="8" spans="1:6" x14ac:dyDescent="0.25">
      <c r="A8" t="s">
        <v>44</v>
      </c>
      <c r="B8" s="18">
        <f>B6*B7</f>
        <v>3871784063.8417053</v>
      </c>
      <c r="C8" s="18">
        <f>C6*C7</f>
        <v>3805042304.2360616</v>
      </c>
      <c r="D8" s="18">
        <f>D6*D7</f>
        <v>3739451038.150151</v>
      </c>
      <c r="E8" s="18">
        <f>E6*E7</f>
        <v>3674990433.392752</v>
      </c>
      <c r="F8" s="18">
        <f>F6*F7</f>
        <v>3611640999.6396804</v>
      </c>
    </row>
    <row r="9" spans="1:6" x14ac:dyDescent="0.25">
      <c r="A9" t="s">
        <v>45</v>
      </c>
      <c r="B9" s="18">
        <f>B8*(1-Assumptions!B8)</f>
        <v>3055071834.27879</v>
      </c>
      <c r="C9" s="18">
        <f>C8*(1-Assumptions!B8)</f>
        <v>3002408548.677296</v>
      </c>
      <c r="D9" s="18">
        <f>D8*(1-Assumptions!B8)</f>
        <v>2950653072.057321</v>
      </c>
      <c r="E9" s="18">
        <f>E8*(1-Assumptions!B8)</f>
        <v>2899789755.620323</v>
      </c>
      <c r="F9" s="18">
        <f>F8*(1-Assumptions!B8)</f>
        <v>2849803220.3215322</v>
      </c>
    </row>
    <row r="10" spans="1:6" x14ac:dyDescent="0.25">
      <c r="A10" t="s">
        <v>46</v>
      </c>
      <c r="B10" s="18">
        <f>B6*Assumptions!B9</f>
        <v>2025259812.312479</v>
      </c>
      <c r="C10" s="18">
        <f>C6*Assumptions!B9</f>
        <v>1990348411.9596887</v>
      </c>
      <c r="D10" s="18">
        <f>D6*Assumptions!B9</f>
        <v>1956038813.838485</v>
      </c>
      <c r="E10" s="18">
        <f>E6*Assumptions!B9</f>
        <v>1922320644.0904071</v>
      </c>
      <c r="F10" s="18">
        <f>F6*Assumptions!B9</f>
        <v>1889183707.681421</v>
      </c>
    </row>
    <row r="11" spans="1:6" x14ac:dyDescent="0.25">
      <c r="A11" t="s">
        <v>47</v>
      </c>
      <c r="B11" s="18">
        <f>-B6*Assumptions!B10</f>
        <v>-1937056983.6322725</v>
      </c>
      <c r="C11" s="18">
        <f>-C6*Assumptions!B10</f>
        <v>-1903666022.4081228</v>
      </c>
      <c r="D11" s="18">
        <f>-D6*Assumptions!B10</f>
        <v>-1870850654.1071</v>
      </c>
      <c r="E11" s="18">
        <f>-E6*Assumptions!B10</f>
        <v>-1838600956.6664364</v>
      </c>
      <c r="F11" s="18">
        <f>-F6*Assumptions!B10</f>
        <v>-1806907179.0597432</v>
      </c>
    </row>
    <row r="12" spans="1:6" x14ac:dyDescent="0.25">
      <c r="A12" t="s">
        <v>48</v>
      </c>
      <c r="B12" s="18">
        <f>-(B6-Assumptions!B29)*Assumptions!B11</f>
        <v>-207566972.33216077</v>
      </c>
      <c r="C12" s="18">
        <f>-(C6-B6)*Assumptions!B11</f>
        <v>-203988935.76270324</v>
      </c>
      <c r="D12" s="18">
        <f>-(D6-C6)*Assumptions!B11</f>
        <v>-200472577.33764845</v>
      </c>
      <c r="E12" s="18">
        <f>-(E6-D6)*Assumptions!B11</f>
        <v>-197016833.85000113</v>
      </c>
      <c r="F12" s="18">
        <f>-(F6-E6)*Assumptions!B11</f>
        <v>-193620660.42031938</v>
      </c>
    </row>
    <row r="13" spans="1:6" x14ac:dyDescent="0.25">
      <c r="A13" s="19" t="s">
        <v>49</v>
      </c>
      <c r="B13" s="20">
        <f>B9+B10+B11+B12</f>
        <v>2935707690.626835</v>
      </c>
      <c r="C13" s="20">
        <f>C9+C10+C11+C12</f>
        <v>2885102002.4661584</v>
      </c>
      <c r="D13" s="20">
        <f>D9+D10+D11+D12</f>
        <v>2835368654.451058</v>
      </c>
      <c r="E13" s="20">
        <f>E9+E10+E11+E12</f>
        <v>2786492609.194293</v>
      </c>
      <c r="F13" s="20">
        <f>F9+F10+F11+F12</f>
        <v>2738459088.522891</v>
      </c>
    </row>
    <row r="14" spans="1:6" x14ac:dyDescent="0.25">
      <c r="A14" t="s">
        <v>50</v>
      </c>
      <c r="B14" s="21">
        <f>1/(1+Assumptions!$B$26)^(1-0.5*Assumptions!$B$32)</f>
        <v>0.9670555204424043</v>
      </c>
      <c r="C14" s="21">
        <f>1/(1+Assumptions!$B$26)^(2-0.5*Assumptions!$B$32)</f>
        <v>0.9043868216074624</v>
      </c>
      <c r="D14" s="21">
        <f>1/(1+Assumptions!$B$26)^(3-0.5*Assumptions!$B$32)</f>
        <v>0.8457792813416461</v>
      </c>
      <c r="E14" s="21">
        <f>1/(1+Assumptions!$B$26)^(4-0.5*Assumptions!$B$32)</f>
        <v>0.7909697218667308</v>
      </c>
      <c r="F14" s="21">
        <f>1/(1+Assumptions!$B$26)^(5-0.5*Assumptions!$B$32)</f>
        <v>0.7397120202773254</v>
      </c>
    </row>
    <row r="15" spans="1:6" x14ac:dyDescent="0.25">
      <c r="A15" s="19" t="s">
        <v>51</v>
      </c>
      <c r="B15" s="20">
        <f>B13*B14</f>
        <v>2838992328.6259027</v>
      </c>
      <c r="C15" s="20">
        <f>C13*C14</f>
        <v>2609248230.023694</v>
      </c>
      <c r="D15" s="20">
        <f>D13*D14</f>
        <v>2398096062.900246</v>
      </c>
      <c r="E15" s="20">
        <f>E13*E14</f>
        <v>2204031284.0781107</v>
      </c>
      <c r="F15" s="20">
        <f>F13*F14</f>
        <v>2025671104.818071</v>
      </c>
    </row>
    <row r="17" spans="1:2" x14ac:dyDescent="0.25">
      <c r="A17" s="22" t="s">
        <v>52</v>
      </c>
      <c r="B17" s="23">
        <f>SUM(B15:F15)</f>
        <v>12076039010.446024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2738459088.522891</v>
      </c>
    </row>
    <row r="5" spans="1:2" x14ac:dyDescent="0.25">
      <c r="A5" t="s">
        <v>56</v>
      </c>
      <c r="B5" s="18">
        <f>IF(Assumptions!$B$33=0,B4,B4-Forecast!F11-Forecast!F10-Forecast!F12)</f>
        <v>2849803220.3215322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0.31547277270680807</v>
      </c>
    </row>
    <row r="7" spans="1:2" x14ac:dyDescent="0.25">
      <c r="A7" t="s">
        <v>58</v>
      </c>
      <c r="B7" s="18">
        <f>-MAX(Forecast!F9,0)*B6</f>
        <v>-899035323.5836244</v>
      </c>
    </row>
    <row r="8" spans="1:2" x14ac:dyDescent="0.25">
      <c r="A8" t="s">
        <v>59</v>
      </c>
      <c r="B8" s="18">
        <f>IF(OR(Assumptions!$B$33=0,Assumptions!B12&lt;=0),B5,MAX(B5+B7,0))</f>
        <v>1950767896.737908</v>
      </c>
    </row>
    <row r="9" spans="1:2" x14ac:dyDescent="0.25">
      <c r="A9" t="s">
        <v>60</v>
      </c>
      <c r="B9" s="18">
        <f>B8*(1+Assumptions!B12)/(Assumptions!B26-Assumptions!B12)</f>
        <v>45142258168.72972</v>
      </c>
    </row>
    <row r="10" spans="1:2" x14ac:dyDescent="0.25">
      <c r="A10" t="s">
        <v>61</v>
      </c>
      <c r="B10" s="18">
        <f>B9/(1+Assumptions!B26)^(5-0.5*Assumptions!B32)</f>
        <v>33392270989.87166</v>
      </c>
    </row>
    <row r="11" spans="1:2" x14ac:dyDescent="0.25">
      <c r="A11" t="s">
        <v>62</v>
      </c>
      <c r="B11" s="18">
        <f>Forecast!B17+B10</f>
        <v>45468310000.31768</v>
      </c>
    </row>
    <row r="12" spans="1:2" x14ac:dyDescent="0.25">
      <c r="A12" t="s">
        <v>63</v>
      </c>
      <c r="B12" s="18">
        <f>-Assumptions!B30</f>
        <v>-9027000000</v>
      </c>
    </row>
    <row r="13" spans="1:2" x14ac:dyDescent="0.25">
      <c r="A13" t="s">
        <v>64</v>
      </c>
      <c r="B13" s="18">
        <f>B11+B12</f>
        <v>36441310000.31768</v>
      </c>
    </row>
    <row r="14" spans="1:2" x14ac:dyDescent="0.25">
      <c r="A14" s="19" t="s">
        <v>65</v>
      </c>
      <c r="B14" s="24">
        <f>B13/Assumptions!B31</f>
        <v>83.81592496828388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5500824707.321101</v>
      </c>
    </row>
    <row r="18" spans="1:2" x14ac:dyDescent="0.25">
      <c r="A18" t="s">
        <v>60</v>
      </c>
      <c r="B18" s="18">
        <f>B17*Assumptions!B13</f>
        <v>60478510040.760475</v>
      </c>
    </row>
    <row r="19" spans="1:2" x14ac:dyDescent="0.25">
      <c r="A19" t="s">
        <v>61</v>
      </c>
      <c r="B19" s="18">
        <f>B18/(1+Assumptions!B26)^(5-0.5*Assumptions!B32)</f>
        <v>44736680845.61344</v>
      </c>
    </row>
    <row r="20" spans="1:2" x14ac:dyDescent="0.25">
      <c r="A20" t="s">
        <v>62</v>
      </c>
      <c r="B20" s="18">
        <f>Forecast!B17+B19</f>
        <v>56812719856.05946</v>
      </c>
    </row>
    <row r="21" spans="1:2" x14ac:dyDescent="0.25">
      <c r="A21" t="s">
        <v>63</v>
      </c>
      <c r="B21" s="18">
        <f>-Assumptions!B30</f>
        <v>-9027000000</v>
      </c>
    </row>
    <row r="22" spans="1:2" x14ac:dyDescent="0.25">
      <c r="A22" t="s">
        <v>64</v>
      </c>
      <c r="B22" s="18">
        <f>B20+B21</f>
        <v>47785719856.05946</v>
      </c>
    </row>
    <row r="23" spans="1:2" x14ac:dyDescent="0.25">
      <c r="A23" s="19" t="s">
        <v>65</v>
      </c>
      <c r="B23" s="25">
        <f>B22/Assumptions!B31</f>
        <v>109.90835153774651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129.85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83.81592496828388</v>
      </c>
    </row>
    <row r="29" spans="1:2" x14ac:dyDescent="0.25">
      <c r="A29" s="19" t="s">
        <v>73</v>
      </c>
      <c r="B29" s="12">
        <f>B28/B26-1</f>
        <v>-0.3545173279300432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0.049294</v>
      </c>
      <c r="B5" s="31">
        <v>134.9296159345765</v>
      </c>
      <c r="C5" s="31">
        <v>145.68176024560364</v>
      </c>
      <c r="D5" s="31">
        <v>160.72265900039142</v>
      </c>
      <c r="E5" s="31">
        <v>183.3865776004331</v>
      </c>
      <c r="F5" s="31">
        <v>221.67304715520186</v>
      </c>
    </row>
    <row r="6" spans="1:6" x14ac:dyDescent="0.25">
      <c r="A6" s="30">
        <v>0.059294</v>
      </c>
      <c r="B6" s="31">
        <v>101.59496839868343</v>
      </c>
      <c r="C6" s="31">
        <v>105.78934798295418</v>
      </c>
      <c r="D6" s="31">
        <v>111.11373617317766</v>
      </c>
      <c r="E6" s="31">
        <v>118.14675415762767</v>
      </c>
      <c r="F6" s="31">
        <v>127.94337217230476</v>
      </c>
    </row>
    <row r="7" spans="1:6" x14ac:dyDescent="0.25">
      <c r="A7" s="30">
        <v>0.069294</v>
      </c>
      <c r="B7" s="31">
        <v>80.4969905709521</v>
      </c>
      <c r="C7" s="31">
        <v>82.01928864721272</v>
      </c>
      <c r="D7" s="32">
        <v>83.81620225849109</v>
      </c>
      <c r="E7" s="31">
        <v>85.99256249923586</v>
      </c>
      <c r="F7" s="31">
        <v>88.71433716095567</v>
      </c>
    </row>
    <row r="8" spans="1:6" x14ac:dyDescent="0.25">
      <c r="A8" s="30">
        <v>0.079294</v>
      </c>
      <c r="B8" s="31">
        <v>65.93627546403026</v>
      </c>
      <c r="C8" s="31">
        <v>66.22946480673255</v>
      </c>
      <c r="D8" s="31">
        <v>66.52265414943481</v>
      </c>
      <c r="E8" s="31">
        <v>66.81584349213712</v>
      </c>
      <c r="F8" s="31">
        <v>67.1090328348394</v>
      </c>
    </row>
    <row r="9" spans="1:6" x14ac:dyDescent="0.25">
      <c r="A9" s="30">
        <v>0.089294</v>
      </c>
      <c r="B9" s="31">
        <v>56.550838808938856</v>
      </c>
      <c r="C9" s="31">
        <v>56.80060989313745</v>
      </c>
      <c r="D9" s="31">
        <v>57.05038097733605</v>
      </c>
      <c r="E9" s="31">
        <v>57.300152061534625</v>
      </c>
      <c r="F9" s="31">
        <v>57.5499231457332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21102000000</v>
      </c>
      <c r="C5" s="18">
        <v>21156000000</v>
      </c>
      <c r="D5" s="18">
        <v>20993000000</v>
      </c>
      <c r="E5" s="18">
        <v>22232000000</v>
      </c>
      <c r="F5" s="8" t="s">
        <v>84</v>
      </c>
    </row>
    <row r="6" spans="1:6" x14ac:dyDescent="0.25">
      <c r="A6" t="s">
        <v>44</v>
      </c>
      <c r="B6" s="18">
        <v>3658000000</v>
      </c>
      <c r="C6" s="18">
        <v>4009000000</v>
      </c>
      <c r="D6" s="18">
        <v>3573000000</v>
      </c>
      <c r="E6" s="18">
        <v>4752000000</v>
      </c>
      <c r="F6" s="8" t="s">
        <v>85</v>
      </c>
    </row>
    <row r="7" spans="1:6" x14ac:dyDescent="0.25">
      <c r="A7" t="s">
        <v>86</v>
      </c>
      <c r="B7" s="18">
        <v>2298000000</v>
      </c>
      <c r="C7" s="18">
        <v>2134000000</v>
      </c>
      <c r="D7" s="18">
        <v>1880000000</v>
      </c>
      <c r="E7" s="18">
        <v>2030000000</v>
      </c>
      <c r="F7" s="8" t="s">
        <v>87</v>
      </c>
    </row>
    <row r="8" spans="1:6" x14ac:dyDescent="0.25">
      <c r="A8" t="s">
        <v>88</v>
      </c>
      <c r="B8" s="18">
        <v>1958000000</v>
      </c>
      <c r="C8" s="18">
        <v>2184000000</v>
      </c>
      <c r="D8" s="18">
        <v>2023000000</v>
      </c>
      <c r="E8" s="18">
        <v>1806000000</v>
      </c>
      <c r="F8" s="8" t="s">
        <v>89</v>
      </c>
    </row>
    <row r="9" spans="1:6" x14ac:dyDescent="0.25">
      <c r="A9" t="s">
        <v>90</v>
      </c>
      <c r="B9" s="18">
        <v>814000000</v>
      </c>
      <c r="C9" s="18">
        <v>310000000</v>
      </c>
      <c r="D9" s="18">
        <v>707000000</v>
      </c>
      <c r="E9" s="18">
        <v>1082000000</v>
      </c>
      <c r="F9" s="8" t="s">
        <v>91</v>
      </c>
    </row>
    <row r="10" spans="1:6" x14ac:dyDescent="0.25">
      <c r="A10" t="s">
        <v>92</v>
      </c>
      <c r="B10" s="18">
        <v>11952000000</v>
      </c>
      <c r="C10" s="18">
        <v>10271000000</v>
      </c>
      <c r="D10" s="18">
        <v>9864000000</v>
      </c>
      <c r="E10" s="18">
        <v>10398000000</v>
      </c>
      <c r="F10" s="8" t="s">
        <v>93</v>
      </c>
    </row>
    <row r="11" spans="1:6" x14ac:dyDescent="0.25">
      <c r="A11" t="s">
        <v>94</v>
      </c>
      <c r="B11" s="18">
        <v>2925000000</v>
      </c>
      <c r="C11" s="18">
        <v>2708000000</v>
      </c>
      <c r="D11" s="18">
        <v>2009000000</v>
      </c>
      <c r="E11" s="18">
        <v>1642000000</v>
      </c>
      <c r="F11" s="8" t="s">
        <v>95</v>
      </c>
    </row>
    <row r="12" spans="1:6" x14ac:dyDescent="0.25">
      <c r="A12" t="s">
        <v>32</v>
      </c>
      <c r="B12" s="34">
        <v>434777878</v>
      </c>
      <c r="C12" s="34">
        <v>434777878</v>
      </c>
      <c r="D12" s="34">
        <v>434777878</v>
      </c>
      <c r="E12" s="34">
        <v>434777878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2026-09-19T00:08:41Z</dcterms:modified>
</cp:coreProperties>
</file>