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<sst xmlns="http://schemas.openxmlformats.org/spreadsheetml/2006/main" count="114" uniqueCount="102">
  <si>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MERLIN Properties SOCIMI, S.A. (MRL.MC)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</si>
  <si>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</si>
  <si>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</si>
  <si>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</si>
  <si>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</si>
  <si>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</si>
  <si>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</si>
  <si>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</si>
  <si>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</si>
  <si>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</si>
  <si>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</si>
  <si>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</si>
  <si>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</si>
  <si>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</si>
  <si>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</si>
  <si>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</si>
  <si>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</si>
  <si>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</si>
  <si>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</si>
  <si>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</si>
  <si>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</si>
  <si>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</si>
  <si>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</si>
  <si>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</si>
  <si>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</si>
  <si>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</si>
  <si>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</si>
  <si>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</si>
  <si>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</si>
  <si>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</si>
  <si>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</si>
  <si>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</si>
  <si>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</si>
  <si>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</si>
  <si>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</si>
  <si>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</si>
  <si>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</si>
  <si>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</si>
  <si>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</si>
  <si>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</si>
  <si>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</si>
  <si>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</si>
  <si>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</si>
  <si>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</si>
  <si>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</si>
  <si>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</si>
  <si>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</si>
  <si>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</si>
  <si>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</si>
  <si>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</si>
  <si>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</si>
  <si>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</si>
  <si>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</si>
  <si>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</si>
  <si>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</si>
  <si>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</si>
  <si>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</si>
  <si>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</si>
  <si>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</si>
  <si>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</si>
  <si>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</si>
  <si>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</si>
  <si>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</si>
  <si>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</si>
  <si>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</si>
  <si>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</si>
  <si>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</si>
  <si>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</si>
  <si>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</si>
  <si>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</si>
  <si>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</si>
  <si>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</si>
  <si>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</si>
  <si>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</si>
  <si>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</si>
  <si>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</si>
  <si>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</si>
  <si>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</si>
  <si>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</si>
  <si>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</si>
  <si>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</si>
  <si>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</si>
  <si>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</si>
  <si>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</si>
  <si>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</si>
  <si>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</si>
  <si>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</si>
  <si>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</si>
  <si>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</si>
  <si>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</si>
  <si>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</si>
  <si>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</si>
  <si>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</si>
  <si>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</si>
  <si>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</si>
  <si>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</si>
  <si>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</si>
  <si>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</si>
  <si>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1.7% of revenue against depreciation of 0.7%.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</si>
  <si>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</si>
  <si>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Current EV/EBITDA of 28.7x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</si>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</sst>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0.07074391126138524</v>
      </c>
    </row>
    <row r="7" spans="1:2" x14ac:dyDescent="0.25">
      <c r="A7" t="s">
        <v>5</v>
      </c>
      <c r="B7" s="6">
        <v>0.7530800722148077</v>
      </c>
    </row>
    <row r="8" spans="1:2" x14ac:dyDescent="0.25">
      <c r="A8" t="s">
        <v>6</v>
      </c>
      <c r="B8" s="6">
        <v>0.04120572791717632</v>
      </c>
    </row>
    <row r="9" spans="1:2" x14ac:dyDescent="0.25">
      <c r="A9" t="s">
        <v>7</v>
      </c>
      <c r="B9" s="6">
        <v>0.00672479355984796</v>
      </c>
    </row>
    <row r="10" spans="1:2" x14ac:dyDescent="0.25">
      <c r="A10" t="s">
        <v>8</v>
      </c>
      <c r="B10" s="6">
        <v>0.016806871879911683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0.07872292460493774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0.95377</v>
      </c>
      <c r="C19" s="8" t="s">
        <v>19</v>
      </c>
    </row>
    <row r="20" spans="1:2" x14ac:dyDescent="0.25">
      <c r="A20" t="s">
        <v>20</v>
      </c>
      <c r="B20" s="10">
        <f>B17+B19*B18</f>
        <v>0.10399505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7702634496</v>
      </c>
    </row>
    <row r="23" spans="1:2" x14ac:dyDescent="0.25">
      <c r="A23" t="s">
        <v>24</v>
      </c>
      <c r="B23" s="11">
        <v>5062260000</v>
      </c>
    </row>
    <row r="24" spans="1:2" x14ac:dyDescent="0.25">
      <c r="A24" t="s">
        <v>25</v>
      </c>
      <c r="B24" s="10">
        <f>B22/(B22+B23)</f>
        <v>0.6034232792455663</v>
      </c>
    </row>
    <row r="25" spans="1:2" x14ac:dyDescent="0.25">
      <c r="A25" t="s">
        <v>26</v>
      </c>
      <c r="B25" s="10">
        <f>1-B24</f>
        <v>0.39657672075443373</v>
      </c>
    </row>
    <row r="26" spans="1:2" x14ac:dyDescent="0.25">
      <c r="A26" t="s">
        <v>27</v>
      </c>
      <c r="B26" s="12">
        <f>B24*B20+B25*B21*(1-B8)</f>
        <v>0.07872292460493774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538963000</v>
      </c>
      <c r="C29" s="8" t="s">
        <v>30</v>
      </c>
    </row>
    <row r="30" spans="1:2" x14ac:dyDescent="0.25">
      <c r="A30" t="s">
        <v>31</v>
      </c>
      <c r="B30" s="11">
        <v>3846732000</v>
      </c>
    </row>
    <row r="31" spans="1:2" x14ac:dyDescent="0.25">
      <c r="A31" t="s">
        <v>32</v>
      </c>
      <c r="B31" s="13">
        <v>562702000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0.07074391126138524</v>
      </c>
      <c r="C5" s="10">
        <f>Assumptions!B6</f>
        <v>0.07074391126138524</v>
      </c>
      <c r="D5" s="10">
        <f>Assumptions!B6</f>
        <v>0.07074391126138524</v>
      </c>
      <c r="E5" s="10">
        <f>Assumptions!B6</f>
        <v>0.07074391126138524</v>
      </c>
      <c r="F5" s="10">
        <f>Assumptions!B6</f>
        <v>0.07074391126138524</v>
      </c>
    </row>
    <row r="6" spans="1:6" x14ac:dyDescent="0.25">
      <c r="A6" t="s">
        <v>43</v>
      </c>
      <c r="B6" s="18">
        <f>Assumptions!B29*(1+B5)</f>
        <v>577091350.64517</v>
      </c>
      <c r="C6" s="18">
        <f>B6*(1+C5)</f>
        <v>617917049.9449248</v>
      </c>
      <c r="D6" s="18">
        <f>C6*(1+D5)</f>
        <v>661630918.8931255</v>
      </c>
      <c r="E6" s="18">
        <f>D6*(1+E5)</f>
        <v>708437277.9070896</v>
      </c>
      <c r="F6" s="18">
        <f>E6*(1+F5)</f>
        <v>758554901.829606</v>
      </c>
    </row>
    <row r="7" spans="1:6" x14ac:dyDescent="0.25">
      <c r="A7" t="s">
        <v>5</v>
      </c>
      <c r="B7" s="10">
        <f>Assumptions!B7</f>
        <v>0.7530800722148077</v>
      </c>
      <c r="C7" s="10">
        <f>Assumptions!B7</f>
        <v>0.7530800722148077</v>
      </c>
      <c r="D7" s="10">
        <f>Assumptions!B7</f>
        <v>0.7530800722148077</v>
      </c>
      <c r="E7" s="10">
        <f>Assumptions!B7</f>
        <v>0.7530800722148077</v>
      </c>
      <c r="F7" s="10">
        <f>Assumptions!B7</f>
        <v>0.7530800722148077</v>
      </c>
    </row>
    <row r="8" spans="1:6" x14ac:dyDescent="0.25">
      <c r="A8" t="s">
        <v>44</v>
      </c>
      <c r="B8" s="18">
        <f>B6*B7</f>
        <v>434595996.0184055</v>
      </c>
      <c r="C8" s="18">
        <f>C6*C7</f>
        <v>465341016.5952849</v>
      </c>
      <c r="D8" s="18">
        <f>D6*D7</f>
        <v>498261060.1795845</v>
      </c>
      <c r="E8" s="18">
        <f>E6*E7</f>
        <v>533509996.4059328</v>
      </c>
      <c r="F8" s="18">
        <f>F6*F7</f>
        <v>571252580.248736</v>
      </c>
    </row>
    <row r="9" spans="1:6" x14ac:dyDescent="0.25">
      <c r="A9" t="s">
        <v>45</v>
      </c>
      <c r="B9" s="18">
        <f>B8*(1-Assumptions!B8)</f>
        <v>416688151.6525768</v>
      </c>
      <c r="C9" s="18">
        <f>C8*(1-Assumptions!B8)</f>
        <v>446166301.2767573</v>
      </c>
      <c r="D9" s="18">
        <f>D8*(1-Assumptions!B8)</f>
        <v>477729850.5021007</v>
      </c>
      <c r="E9" s="18">
        <f>E8*(1-Assumptions!B8)</f>
        <v>511526328.65293616</v>
      </c>
      <c r="F9" s="18">
        <f>F8*(1-Assumptions!B8)</f>
        <v>547713701.8550216</v>
      </c>
    </row>
    <row r="10" spans="1:6" x14ac:dyDescent="0.25">
      <c r="A10" t="s">
        <v>46</v>
      </c>
      <c r="B10" s="18">
        <f>B6*Assumptions!B9</f>
        <v>3880820.1982626</v>
      </c>
      <c r="C10" s="18">
        <f>C6*Assumptions!B9</f>
        <v>4155364.597989881</v>
      </c>
      <c r="D10" s="18">
        <f>D6*Assumptions!B9</f>
        <v>4449331.342368779</v>
      </c>
      <c r="E10" s="18">
        <f>E6*Assumptions!B9</f>
        <v>4764094.444025815</v>
      </c>
      <c r="F10" s="18">
        <f>F6*Assumptions!B9</f>
        <v>5101125.118614837</v>
      </c>
    </row>
    <row r="11" spans="1:6" x14ac:dyDescent="0.25">
      <c r="A11" t="s">
        <v>47</v>
      </c>
      <c r="B11" s="18">
        <f>-B6*Assumptions!B10</f>
        <v>-9699100.39329856</v>
      </c>
      <c r="C11" s="18">
        <f>-C6*Assumptions!B10</f>
        <v>-10385252.69083734</v>
      </c>
      <c r="D11" s="18">
        <f>-D6*Assumptions!B10</f>
        <v>-11119946.085624998</v>
      </c>
      <c r="E11" s="18">
        <f>-E6*Assumptions!B10</f>
        <v>-11906614.564737841</v>
      </c>
      <c r="F11" s="18">
        <f>-F6*Assumptions!B10</f>
        <v>-12748935.048929173</v>
      </c>
    </row>
    <row r="12" spans="1:6" x14ac:dyDescent="0.25">
      <c r="A12" t="s">
        <v>48</v>
      </c>
      <c r="B12" s="18">
        <f>-(B6-Assumptions!B29)*Assumptions!B11</f>
        <v>38128350.64516997</v>
      </c>
      <c r="C12" s="18">
        <f>-(C6-B6)*Assumptions!B11</f>
        <v>40825699.29975486</v>
      </c>
      <c r="D12" s="18">
        <f>-(D6-C6)*Assumptions!B11</f>
        <v>43713868.9482007</v>
      </c>
      <c r="E12" s="18">
        <f>-(E6-D6)*Assumptions!B11</f>
        <v>46806359.01396406</v>
      </c>
      <c r="F12" s="18">
        <f>-(F6-E6)*Assumptions!B11</f>
        <v>50117623.922516465</v>
      </c>
    </row>
    <row r="13" spans="1:6" x14ac:dyDescent="0.25">
      <c r="A13" s="19" t="s">
        <v>49</v>
      </c>
      <c r="B13" s="20">
        <f>B9+B10+B11+B12</f>
        <v>448998222.1027108</v>
      </c>
      <c r="C13" s="20">
        <f>C9+C10+C11+C12</f>
        <v>480762112.4836647</v>
      </c>
      <c r="D13" s="20">
        <f>D9+D10+D11+D12</f>
        <v>514773104.7070452</v>
      </c>
      <c r="E13" s="20">
        <f>E9+E10+E11+E12</f>
        <v>551190167.5461881</v>
      </c>
      <c r="F13" s="20">
        <f>F9+F10+F11+F12</f>
        <v>590183515.8472236</v>
      </c>
    </row>
    <row r="14" spans="1:6" x14ac:dyDescent="0.25">
      <c r="A14" t="s">
        <v>50</v>
      </c>
      <c r="B14" s="21">
        <f>1/(1+Assumptions!$B$26)^(1-0.5*Assumptions!$B$32)</f>
        <v>0.9628198733145392</v>
      </c>
      <c r="C14" s="21">
        <f>1/(1+Assumptions!$B$26)^(2-0.5*Assumptions!$B$32)</f>
        <v>0.892555309017053</v>
      </c>
      <c r="D14" s="21">
        <f>1/(1+Assumptions!$B$26)^(3-0.5*Assumptions!$B$32)</f>
        <v>0.8274185044727169</v>
      </c>
      <c r="E14" s="21">
        <f>1/(1+Assumptions!$B$26)^(4-0.5*Assumptions!$B$32)</f>
        <v>0.7670352465863685</v>
      </c>
      <c r="F14" s="21">
        <f>1/(1+Assumptions!$B$26)^(5-0.5*Assumptions!$B$32)</f>
        <v>0.7110586315455203</v>
      </c>
    </row>
    <row r="15" spans="1:6" x14ac:dyDescent="0.25">
      <c r="A15" s="19" t="s">
        <v>51</v>
      </c>
      <c r="B15" s="20">
        <f>B13*B14</f>
        <v>432304411.32338536</v>
      </c>
      <c r="C15" s="20">
        <f>C13*C14</f>
        <v>429106775.87154853</v>
      </c>
      <c r="D15" s="20">
        <f>D13*D14</f>
        <v>425932792.43948066</v>
      </c>
      <c r="E15" s="20">
        <f>E13*E14</f>
        <v>422782286.0797722</v>
      </c>
      <c r="F15" s="20">
        <f>F13*F14</f>
        <v>419655083.1390507</v>
      </c>
    </row>
    <row r="17" spans="1:2" x14ac:dyDescent="0.25">
      <c r="A17" s="22" t="s">
        <v>52</v>
      </c>
      <c r="B17" s="23">
        <f>SUM(B15:F15)</f>
        <v>2129781348.8532376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590183515.8472236</v>
      </c>
    </row>
    <row r="5" spans="1:2" x14ac:dyDescent="0.25">
      <c r="A5" t="s">
        <v>56</v>
      </c>
      <c r="B5" s="18">
        <f>IF(Assumptions!$B$33=0,B4,B4-Forecast!F11-Forecast!F10-Forecast!F12)</f>
        <v>547713701.8550216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0.31756950247287846</v>
      </c>
    </row>
    <row r="7" spans="1:2" x14ac:dyDescent="0.25">
      <c r="A7" t="s">
        <v>58</v>
      </c>
      <c r="B7" s="18">
        <f>-MAX(Forecast!F9,0)*B6</f>
        <v>-173937167.7956777</v>
      </c>
    </row>
    <row r="8" spans="1:2" x14ac:dyDescent="0.25">
      <c r="A8" t="s">
        <v>59</v>
      </c>
      <c r="B8" s="18">
        <f>IF(OR(Assumptions!$B$33=0,Assumptions!B12&lt;=0),B5,MAX(B5+B7,0))</f>
        <v>373776534.05934393</v>
      </c>
    </row>
    <row r="9" spans="1:2" x14ac:dyDescent="0.25">
      <c r="A9" t="s">
        <v>60</v>
      </c>
      <c r="B9" s="18">
        <f>B8*(1+Assumptions!B12)/(Assumptions!B26-Assumptions!B12)</f>
        <v>7131423879.6227865</v>
      </c>
    </row>
    <row r="10" spans="1:2" x14ac:dyDescent="0.25">
      <c r="A10" t="s">
        <v>61</v>
      </c>
      <c r="B10" s="18">
        <f>B9/(1+Assumptions!B26)^(5-0.5*Assumptions!B32)</f>
        <v>5070860504.815624</v>
      </c>
    </row>
    <row r="11" spans="1:2" x14ac:dyDescent="0.25">
      <c r="A11" t="s">
        <v>62</v>
      </c>
      <c r="B11" s="18">
        <f>Forecast!B17+B10</f>
        <v>7200641853.668861</v>
      </c>
    </row>
    <row r="12" spans="1:2" x14ac:dyDescent="0.25">
      <c r="A12" t="s">
        <v>63</v>
      </c>
      <c r="B12" s="18">
        <f>-Assumptions!B30</f>
        <v>-3846732000</v>
      </c>
    </row>
    <row r="13" spans="1:2" x14ac:dyDescent="0.25">
      <c r="A13" t="s">
        <v>64</v>
      </c>
      <c r="B13" s="18">
        <f>B11+B12</f>
        <v>3353909853.6688614</v>
      </c>
    </row>
    <row r="14" spans="1:2" x14ac:dyDescent="0.25">
      <c r="A14" s="19" t="s">
        <v>65</v>
      </c>
      <c r="B14" s="24">
        <f>B13/Assumptions!B31</f>
        <v>5.960365972875272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576353705.3673508</v>
      </c>
    </row>
    <row r="18" spans="1:2" x14ac:dyDescent="0.25">
      <c r="A18" t="s">
        <v>60</v>
      </c>
      <c r="B18" s="18">
        <f>B17*Assumptions!B13</f>
        <v>11527074107.347015</v>
      </c>
    </row>
    <row r="19" spans="1:2" x14ac:dyDescent="0.25">
      <c r="A19" t="s">
        <v>61</v>
      </c>
      <c r="B19" s="18">
        <f>B18/(1+Assumptions!B26)^(5-0.5*Assumptions!B32)</f>
        <v>8196425540.493969</v>
      </c>
    </row>
    <row r="20" spans="1:2" x14ac:dyDescent="0.25">
      <c r="A20" t="s">
        <v>62</v>
      </c>
      <c r="B20" s="18">
        <f>Forecast!B17+B19</f>
        <v>10326206889.347206</v>
      </c>
    </row>
    <row r="21" spans="1:2" x14ac:dyDescent="0.25">
      <c r="A21" t="s">
        <v>63</v>
      </c>
      <c r="B21" s="18">
        <f>-Assumptions!B30</f>
        <v>-3846732000</v>
      </c>
    </row>
    <row r="22" spans="1:2" x14ac:dyDescent="0.25">
      <c r="A22" t="s">
        <v>64</v>
      </c>
      <c r="B22" s="18">
        <f>B20+B21</f>
        <v>6479474889.347206</v>
      </c>
    </row>
    <row r="23" spans="1:2" x14ac:dyDescent="0.25">
      <c r="A23" s="19" t="s">
        <v>65</v>
      </c>
      <c r="B23" s="25">
        <f>B22/Assumptions!B31</f>
        <v>11.514931330166245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12.44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5.960365972875272</v>
      </c>
    </row>
    <row r="29" spans="1:2" x14ac:dyDescent="0.25">
      <c r="A29" s="19" t="s">
        <v>73</v>
      </c>
      <c r="B29" s="12">
        <f>B28/B26-1</f>
        <v>-0.5208709025019878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0.058723</v>
      </c>
      <c r="B5" s="31">
        <v>10.144362553205623</v>
      </c>
      <c r="C5" s="31">
        <v>10.20847116179871</v>
      </c>
      <c r="D5" s="31">
        <v>10.272579770391797</v>
      </c>
      <c r="E5" s="31">
        <v>10.336688378984881</v>
      </c>
      <c r="F5" s="31">
        <v>10.400796987577966</v>
      </c>
    </row>
    <row r="6" spans="1:6" x14ac:dyDescent="0.25">
      <c r="A6" s="30">
        <v>0.068723</v>
      </c>
      <c r="B6" s="31">
        <v>7.697421277246288</v>
      </c>
      <c r="C6" s="31">
        <v>7.749932222928374</v>
      </c>
      <c r="D6" s="31">
        <v>7.802443168610452</v>
      </c>
      <c r="E6" s="31">
        <v>7.854954114292536</v>
      </c>
      <c r="F6" s="31">
        <v>7.907465059974616</v>
      </c>
    </row>
    <row r="7" spans="1:6" x14ac:dyDescent="0.25">
      <c r="A7" s="30">
        <v>0.078723</v>
      </c>
      <c r="B7" s="31">
        <v>5.872435650672825</v>
      </c>
      <c r="C7" s="31">
        <v>5.916394750571962</v>
      </c>
      <c r="D7" s="32">
        <v>5.960353850471092</v>
      </c>
      <c r="E7" s="31">
        <v>6.004312950370229</v>
      </c>
      <c r="F7" s="31">
        <v>6.048272050269359</v>
      </c>
    </row>
    <row r="8" spans="1:6" x14ac:dyDescent="0.25">
      <c r="A8" s="30">
        <v>0.088723</v>
      </c>
      <c r="B8" s="31">
        <v>4.459101288852763</v>
      </c>
      <c r="C8" s="31">
        <v>4.4965192950786745</v>
      </c>
      <c r="D8" s="31">
        <v>4.533937301304583</v>
      </c>
      <c r="E8" s="31">
        <v>4.571355307530494</v>
      </c>
      <c r="F8" s="31">
        <v>4.608773313756406</v>
      </c>
    </row>
    <row r="9" spans="1:6" x14ac:dyDescent="0.25">
      <c r="A9" s="30">
        <v>0.098723</v>
      </c>
      <c r="B9" s="31">
        <v>3.332323095870922</v>
      </c>
      <c r="C9" s="31">
        <v>3.3645953897362055</v>
      </c>
      <c r="D9" s="31">
        <v>3.3968676836014855</v>
      </c>
      <c r="E9" s="31">
        <v>3.429139977466769</v>
      </c>
      <c r="F9" s="31">
        <v>3.4614122713320508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538963000</v>
      </c>
      <c r="C5" s="18">
        <v>494572000</v>
      </c>
      <c r="D5" s="18">
        <v>464779000</v>
      </c>
      <c r="E5" s="18">
        <v>439038000</v>
      </c>
      <c r="F5" s="8" t="s">
        <v>84</v>
      </c>
    </row>
    <row r="6" spans="1:6" x14ac:dyDescent="0.25">
      <c r="A6" t="s">
        <v>44</v>
      </c>
      <c r="B6" s="18">
        <v>397992000</v>
      </c>
      <c r="C6" s="18">
        <v>377483000</v>
      </c>
      <c r="D6" s="18">
        <v>354057000</v>
      </c>
      <c r="E6" s="18">
        <v>328775000</v>
      </c>
      <c r="F6" s="8" t="s">
        <v>85</v>
      </c>
    </row>
    <row r="7" spans="1:6" x14ac:dyDescent="0.25">
      <c r="A7" t="s">
        <v>86</v>
      </c>
      <c r="B7" s="18">
        <v>5037000</v>
      </c>
      <c r="C7" s="18">
        <v>4350000</v>
      </c>
      <c r="D7" s="18">
        <v>2075000</v>
      </c>
      <c r="E7" s="18">
        <v>1885000</v>
      </c>
      <c r="F7" s="8" t="s">
        <v>87</v>
      </c>
    </row>
    <row r="8" spans="1:6" x14ac:dyDescent="0.25">
      <c r="A8" t="s">
        <v>88</v>
      </c>
      <c r="B8" s="18">
        <v>10572000</v>
      </c>
      <c r="C8" s="18">
        <v>19480000</v>
      </c>
      <c r="D8" s="18">
        <v>2007000</v>
      </c>
      <c r="E8" s="18">
        <v>1715000</v>
      </c>
      <c r="F8" s="8" t="s">
        <v>89</v>
      </c>
    </row>
    <row r="9" spans="1:6" x14ac:dyDescent="0.25">
      <c r="A9" t="s">
        <v>90</v>
      </c>
      <c r="B9" s="18">
        <v>-113519000</v>
      </c>
      <c r="C9" s="18">
        <v>-31825000</v>
      </c>
      <c r="D9" s="18">
        <v>35077000</v>
      </c>
      <c r="E9" s="18">
        <v>9637000</v>
      </c>
      <c r="F9" s="8" t="s">
        <v>91</v>
      </c>
    </row>
    <row r="10" spans="1:6" x14ac:dyDescent="0.25">
      <c r="A10" t="s">
        <v>92</v>
      </c>
      <c r="B10" s="18">
        <v>5062260000</v>
      </c>
      <c r="C10" s="18">
        <v>4922456000</v>
      </c>
      <c r="D10" s="18">
        <v>4523912000</v>
      </c>
      <c r="E10" s="18">
        <v>4249281000</v>
      </c>
      <c r="F10" s="8" t="s">
        <v>93</v>
      </c>
    </row>
    <row r="11" spans="1:6" x14ac:dyDescent="0.25">
      <c r="A11" t="s">
        <v>94</v>
      </c>
      <c r="B11" s="18">
        <v>1215528000</v>
      </c>
      <c r="C11" s="18">
        <v>1561879000</v>
      </c>
      <c r="D11" s="18">
        <v>460450000</v>
      </c>
      <c r="E11" s="18">
        <v>427453000</v>
      </c>
      <c r="F11" s="8" t="s">
        <v>95</v>
      </c>
    </row>
    <row r="12" spans="1:6" x14ac:dyDescent="0.25">
      <c r="A12" t="s">
        <v>32</v>
      </c>
      <c r="B12" s="34">
        <v>562702000</v>
      </c>
      <c r="C12" s="34">
        <v>509857000</v>
      </c>
      <c r="D12" s="34">
        <v>468324000</v>
      </c>
      <c r="E12" s="34">
        <v>467891000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2026-09-19T01:05:46Z</dcterms:modified>
</cp:coreProperties>
</file>