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<sst xmlns="http://schemas.openxmlformats.org/spreadsheetml/2006/main" count="115" uniqueCount="103">
  <si>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Moderna, Inc. (MRNA)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</si>
  <si>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</si>
  <si>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</si>
  <si>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</si>
  <si>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</si>
  <si>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</si>
  <si>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</si>
  <si>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</si>
  <si>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</si>
  <si>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</si>
  <si>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</si>
  <si>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</si>
  <si>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</si>
  <si>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</si>
  <si>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</si>
  <si>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</si>
  <si>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</si>
  <si>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</si>
  <si>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</si>
  <si>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</si>
  <si>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</si>
  <si>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</si>
  <si>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</si>
  <si>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</si>
  <si>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</si>
  <si>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</si>
  <si>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</si>
  <si>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</si>
  <si>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</si>
  <si>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</si>
  <si>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</si>
  <si>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</si>
  <si>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</si>
  <si>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</si>
  <si>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</si>
  <si>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</si>
  <si>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</si>
  <si>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</si>
  <si>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</si>
  <si>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</si>
  <si>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</si>
  <si>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</si>
  <si>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</si>
  <si>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</si>
  <si>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</si>
  <si>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</si>
  <si>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</si>
  <si>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</si>
  <si>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</si>
  <si>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</si>
  <si>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</si>
  <si>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</si>
  <si>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</si>
  <si>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</si>
  <si>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</si>
  <si>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</si>
  <si>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</si>
  <si>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</si>
  <si>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</si>
  <si>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</si>
  <si>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</si>
  <si>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</si>
  <si>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</si>
  <si>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</si>
  <si>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</si>
  <si>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</si>
  <si>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</si>
  <si>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</si>
  <si>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</si>
  <si>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</si>
  <si>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</si>
  <si>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</si>
  <si>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</si>
  <si>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</si>
  <si>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</si>
  <si>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</si>
  <si>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</si>
  <si>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</si>
  <si>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</si>
  <si>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</si>
  <si>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</si>
  <si>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</si>
  <si>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</si>
  <si>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</si>
  <si>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</si>
  <si>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</si>
  <si>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</si>
  <si>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</si>
  <si>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</si>
  <si>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</si>
  <si>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</si>
  <si>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</si>
  <si>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</si>
  <si>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</si>
  <si>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</si>
  <si>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</si>
  <si>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</si>
  <si>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</si>
  <si>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5.7%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</si>
  <si>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</si>
  <si>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14.0% of revenue against depreciation of 7.0%.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</si>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</sst>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-0.5</v>
      </c>
    </row>
    <row r="7" spans="1:2" x14ac:dyDescent="0.25">
      <c r="A7" t="s">
        <v>5</v>
      </c>
      <c r="B7" s="6">
        <v>-0.7402821873178236</v>
      </c>
    </row>
    <row r="8" spans="1:2" x14ac:dyDescent="0.25">
      <c r="A8" t="s">
        <v>6</v>
      </c>
      <c r="B8" s="6">
        <v>0.1266840731070496</v>
      </c>
    </row>
    <row r="9" spans="1:2" x14ac:dyDescent="0.25">
      <c r="A9" t="s">
        <v>7</v>
      </c>
      <c r="B9" s="6">
        <v>0.07033155143583335</v>
      </c>
    </row>
    <row r="10" spans="1:2" x14ac:dyDescent="0.25">
      <c r="A10" t="s">
        <v>8</v>
      </c>
      <c r="B10" s="6">
        <v>0.13987744651378026</v>
      </c>
    </row>
    <row r="11" spans="1:2" x14ac:dyDescent="0.25">
      <c r="A11" t="s">
        <v>9</v>
      </c>
      <c r="B11" s="6">
        <v>0.05684349476115832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0.4301958914046747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1.07102</v>
      </c>
      <c r="C19" s="8" t="s">
        <v>19</v>
      </c>
    </row>
    <row r="20" spans="1:2" x14ac:dyDescent="0.25">
      <c r="A20" t="s">
        <v>20</v>
      </c>
      <c r="B20" s="10">
        <f>B17+B19*B18</f>
        <v>0.10888610000000001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61498294272</v>
      </c>
    </row>
    <row r="23" spans="1:2" x14ac:dyDescent="0.25">
      <c r="A23" t="s">
        <v>24</v>
      </c>
      <c r="B23" s="11">
        <v>1305000000</v>
      </c>
    </row>
    <row r="24" spans="1:2" x14ac:dyDescent="0.25">
      <c r="A24" t="s">
        <v>25</v>
      </c>
      <c r="B24" s="10">
        <f>B22/(B22+B23)</f>
        <v>0.9792208352264442</v>
      </c>
    </row>
    <row r="25" spans="1:2" x14ac:dyDescent="0.25">
      <c r="A25" t="s">
        <v>26</v>
      </c>
      <c r="B25" s="10">
        <f>1-B24</f>
        <v>0.02077916477355579</v>
      </c>
    </row>
    <row r="26" spans="1:2" x14ac:dyDescent="0.25">
      <c r="A26" t="s">
        <v>27</v>
      </c>
      <c r="B26" s="12">
        <f>B24*B20+B25*B21*(1-B8)</f>
        <v>0.10753051362825321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1922000000</v>
      </c>
      <c r="C29" s="8" t="s">
        <v>30</v>
      </c>
    </row>
    <row r="30" spans="1:2" x14ac:dyDescent="0.25">
      <c r="A30" t="s">
        <v>31</v>
      </c>
      <c r="B30" s="11">
        <v>-4494000000</v>
      </c>
    </row>
    <row r="31" spans="1:2" x14ac:dyDescent="0.25">
      <c r="A31" t="s">
        <v>32</v>
      </c>
      <c r="B31" s="13">
        <v>389000000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-0.5</v>
      </c>
      <c r="C5" s="10">
        <f>Assumptions!B6</f>
        <v>-0.5</v>
      </c>
      <c r="D5" s="10">
        <f>Assumptions!B6</f>
        <v>-0.5</v>
      </c>
      <c r="E5" s="10">
        <f>Assumptions!B6</f>
        <v>-0.5</v>
      </c>
      <c r="F5" s="10">
        <f>Assumptions!B6</f>
        <v>-0.5</v>
      </c>
    </row>
    <row r="6" spans="1:6" x14ac:dyDescent="0.25">
      <c r="A6" t="s">
        <v>43</v>
      </c>
      <c r="B6" s="18">
        <f>Assumptions!B29*(1+B5)</f>
        <v>961000000</v>
      </c>
      <c r="C6" s="18">
        <f>B6*(1+C5)</f>
        <v>480500000</v>
      </c>
      <c r="D6" s="18">
        <f>C6*(1+D5)</f>
        <v>240250000</v>
      </c>
      <c r="E6" s="18">
        <f>D6*(1+E5)</f>
        <v>120125000</v>
      </c>
      <c r="F6" s="18">
        <f>E6*(1+F5)</f>
        <v>60062500</v>
      </c>
    </row>
    <row r="7" spans="1:6" x14ac:dyDescent="0.25">
      <c r="A7" t="s">
        <v>5</v>
      </c>
      <c r="B7" s="10">
        <f>Assumptions!B7</f>
        <v>-0.7402821873178236</v>
      </c>
      <c r="C7" s="10">
        <f>Assumptions!B7</f>
        <v>-0.7402821873178236</v>
      </c>
      <c r="D7" s="10">
        <f>Assumptions!B7</f>
        <v>-0.7402821873178236</v>
      </c>
      <c r="E7" s="10">
        <f>Assumptions!B7</f>
        <v>-0.7402821873178236</v>
      </c>
      <c r="F7" s="10">
        <f>Assumptions!B7</f>
        <v>-0.7402821873178236</v>
      </c>
    </row>
    <row r="8" spans="1:6" x14ac:dyDescent="0.25">
      <c r="A8" t="s">
        <v>44</v>
      </c>
      <c r="B8" s="18">
        <f>B6*B7</f>
        <v>-711411182.0124284</v>
      </c>
      <c r="C8" s="18">
        <f>C6*C7</f>
        <v>-355705591.0062142</v>
      </c>
      <c r="D8" s="18">
        <f>D6*D7</f>
        <v>-177852795.5031071</v>
      </c>
      <c r="E8" s="18">
        <f>E6*E7</f>
        <v>-88926397.75155355</v>
      </c>
      <c r="F8" s="18">
        <f>F6*F7</f>
        <v>-44463198.875776775</v>
      </c>
    </row>
    <row r="9" spans="1:6" x14ac:dyDescent="0.25">
      <c r="A9" t="s">
        <v>45</v>
      </c>
      <c r="B9" s="18">
        <f>B8*(1-Assumptions!B8)</f>
        <v>-621286715.8211933</v>
      </c>
      <c r="C9" s="18">
        <f>C8*(1-Assumptions!B8)</f>
        <v>-310643357.91059667</v>
      </c>
      <c r="D9" s="18">
        <f>D8*(1-Assumptions!B8)</f>
        <v>-155321678.95529833</v>
      </c>
      <c r="E9" s="18">
        <f>E8*(1-Assumptions!B8)</f>
        <v>-77660839.47764917</v>
      </c>
      <c r="F9" s="18">
        <f>F8*(1-Assumptions!B8)</f>
        <v>-38830419.73882458</v>
      </c>
    </row>
    <row r="10" spans="1:6" x14ac:dyDescent="0.25">
      <c r="A10" t="s">
        <v>46</v>
      </c>
      <c r="B10" s="18">
        <f>B6*Assumptions!B9</f>
        <v>67588620.92983584</v>
      </c>
      <c r="C10" s="18">
        <f>C6*Assumptions!B9</f>
        <v>33794310.46491792</v>
      </c>
      <c r="D10" s="18">
        <f>D6*Assumptions!B9</f>
        <v>16897155.23245896</v>
      </c>
      <c r="E10" s="18">
        <f>E6*Assumptions!B9</f>
        <v>8448577.61622948</v>
      </c>
      <c r="F10" s="18">
        <f>F6*Assumptions!B9</f>
        <v>4224288.80811474</v>
      </c>
    </row>
    <row r="11" spans="1:6" x14ac:dyDescent="0.25">
      <c r="A11" t="s">
        <v>47</v>
      </c>
      <c r="B11" s="18">
        <f>-B6*Assumptions!B10</f>
        <v>-134422226.09974283</v>
      </c>
      <c r="C11" s="18">
        <f>-C6*Assumptions!B10</f>
        <v>-67211113.04987141</v>
      </c>
      <c r="D11" s="18">
        <f>-D6*Assumptions!B10</f>
        <v>-33605556.52493571</v>
      </c>
      <c r="E11" s="18">
        <f>-E6*Assumptions!B10</f>
        <v>-16802778.262467854</v>
      </c>
      <c r="F11" s="18">
        <f>-F6*Assumptions!B10</f>
        <v>-8401389.131233927</v>
      </c>
    </row>
    <row r="12" spans="1:6" x14ac:dyDescent="0.25">
      <c r="A12" t="s">
        <v>48</v>
      </c>
      <c r="B12" s="18">
        <f>-(B6-Assumptions!B29)*Assumptions!B11</f>
        <v>54626598.465473145</v>
      </c>
      <c r="C12" s="18">
        <f>-(C6-B6)*Assumptions!B11</f>
        <v>27313299.232736573</v>
      </c>
      <c r="D12" s="18">
        <f>-(D6-C6)*Assumptions!B11</f>
        <v>13656649.616368286</v>
      </c>
      <c r="E12" s="18">
        <f>-(E6-D6)*Assumptions!B11</f>
        <v>6828324.808184143</v>
      </c>
      <c r="F12" s="18">
        <f>-(F6-E6)*Assumptions!B11</f>
        <v>3414162.4040920716</v>
      </c>
    </row>
    <row r="13" spans="1:6" x14ac:dyDescent="0.25">
      <c r="A13" s="19" t="s">
        <v>49</v>
      </c>
      <c r="B13" s="20">
        <f>B9+B10+B11+B12</f>
        <v>-633493722.5256271</v>
      </c>
      <c r="C13" s="20">
        <f>C9+C10+C11+C12</f>
        <v>-316746861.26281357</v>
      </c>
      <c r="D13" s="20">
        <f>D9+D10+D11+D12</f>
        <v>-158373430.63140678</v>
      </c>
      <c r="E13" s="20">
        <f>E9+E10+E11+E12</f>
        <v>-79186715.31570339</v>
      </c>
      <c r="F13" s="20">
        <f>F9+F10+F11+F12</f>
        <v>-39593357.657851696</v>
      </c>
    </row>
    <row r="14" spans="1:6" x14ac:dyDescent="0.25">
      <c r="A14" t="s">
        <v>50</v>
      </c>
      <c r="B14" s="21">
        <f>1/(1+Assumptions!$B$26)^(1-0.5*Assumptions!$B$32)</f>
        <v>0.9502155863022429</v>
      </c>
      <c r="C14" s="21">
        <f>1/(1+Assumptions!$B$26)^(2-0.5*Assumptions!$B$32)</f>
        <v>0.8579588323840858</v>
      </c>
      <c r="D14" s="21">
        <f>1/(1+Assumptions!$B$26)^(3-0.5*Assumptions!$B$32)</f>
        <v>0.7746593180294652</v>
      </c>
      <c r="E14" s="21">
        <f>1/(1+Assumptions!$B$26)^(4-0.5*Assumptions!$B$32)</f>
        <v>0.6994473818077418</v>
      </c>
      <c r="F14" s="21">
        <f>1/(1+Assumptions!$B$26)^(5-0.5*Assumptions!$B$32)</f>
        <v>0.6315377980118695</v>
      </c>
    </row>
    <row r="15" spans="1:6" x14ac:dyDescent="0.25">
      <c r="A15" s="19" t="s">
        <v>51</v>
      </c>
      <c r="B15" s="20">
        <f>B13*B14</f>
        <v>-601955608.9684792</v>
      </c>
      <c r="C15" s="20">
        <f>C13*C14</f>
        <v>-271755767.2503675</v>
      </c>
      <c r="D15" s="20">
        <f>D13*D14</f>
        <v>-122685453.76691239</v>
      </c>
      <c r="E15" s="20">
        <f>E13*E14</f>
        <v>-55386940.70152374</v>
      </c>
      <c r="F15" s="20">
        <f>F13*F14</f>
        <v>-25004701.91113605</v>
      </c>
    </row>
    <row r="17" spans="1:2" x14ac:dyDescent="0.25">
      <c r="A17" s="22" t="s">
        <v>52</v>
      </c>
      <c r="B17" s="23">
        <f>SUM(B15:F15)</f>
        <v>-1076788472.598419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-39593357.657851696</v>
      </c>
    </row>
    <row r="5" spans="1:2" x14ac:dyDescent="0.25">
      <c r="A5" t="s">
        <v>56</v>
      </c>
      <c r="B5" s="18">
        <f>IF(Assumptions!$B$33=0,B4,B4-Forecast!F11-Forecast!F10-Forecast!F12)</f>
        <v>-38830419.73882458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0.05811306081601583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-1076788472.598419</v>
      </c>
    </row>
    <row r="12" spans="1:2" x14ac:dyDescent="0.25">
      <c r="A12" t="s">
        <v>63</v>
      </c>
      <c r="B12" s="18">
        <f>-Assumptions!B30</f>
        <v>4494000000</v>
      </c>
    </row>
    <row r="13" spans="1:2" x14ac:dyDescent="0.25">
      <c r="A13" t="s">
        <v>64</v>
      </c>
      <c r="B13" s="18">
        <f>B11+B12</f>
        <v>3417211527.401581</v>
      </c>
    </row>
    <row r="14" spans="1:2" x14ac:dyDescent="0.25">
      <c r="A14" s="19" t="s">
        <v>65</v>
      </c>
      <c r="B14" s="24">
        <f>B13/Assumptions!B31</f>
        <v>8.784605468898665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-40238910.06766204</v>
      </c>
    </row>
    <row r="18" spans="1:2" x14ac:dyDescent="0.25">
      <c r="A18" t="s">
        <v>60</v>
      </c>
      <c r="B18" s="18">
        <f>B17*Assumptions!B13</f>
        <v>-321911280.5412963</v>
      </c>
    </row>
    <row r="19" spans="1:2" x14ac:dyDescent="0.25">
      <c r="A19" t="s">
        <v>61</v>
      </c>
      <c r="B19" s="18">
        <f>B18/(1+Assumptions!B26)^(5-0.5*Assumptions!B32)</f>
        <v>-203299141.26823145</v>
      </c>
    </row>
    <row r="20" spans="1:2" x14ac:dyDescent="0.25">
      <c r="A20" t="s">
        <v>62</v>
      </c>
      <c r="B20" s="18">
        <f>Forecast!B17+B19</f>
        <v>-1280087613.8666503</v>
      </c>
    </row>
    <row r="21" spans="1:2" x14ac:dyDescent="0.25">
      <c r="A21" t="s">
        <v>63</v>
      </c>
      <c r="B21" s="18">
        <f>-Assumptions!B30</f>
        <v>4494000000</v>
      </c>
    </row>
    <row r="22" spans="1:2" x14ac:dyDescent="0.25">
      <c r="A22" t="s">
        <v>64</v>
      </c>
      <c r="B22" s="18">
        <f>B20+B21</f>
        <v>3213912386.1333494</v>
      </c>
    </row>
    <row r="23" spans="1:2" x14ac:dyDescent="0.25">
      <c r="A23" s="19" t="s">
        <v>65</v>
      </c>
      <c r="B23" s="25">
        <f>B22/Assumptions!B31</f>
        <v>8.261985568466194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154.04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8.784605468898665</v>
      </c>
    </row>
    <row r="29" spans="1:2" x14ac:dyDescent="0.25">
      <c r="A29" s="19" t="s">
        <v>73</v>
      </c>
      <c r="B29" s="12">
        <f>B28/B26-1</f>
        <v>-0.9429719198331689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0.087531</v>
      </c>
      <c r="B5" s="31">
        <v>8.721512016502459</v>
      </c>
      <c r="C5" s="31">
        <v>8.721512016502459</v>
      </c>
      <c r="D5" s="31">
        <v>8.721512016502459</v>
      </c>
      <c r="E5" s="31">
        <v>8.721512016502459</v>
      </c>
      <c r="F5" s="31">
        <v>8.721512016502459</v>
      </c>
    </row>
    <row r="6" spans="1:6" x14ac:dyDescent="0.25">
      <c r="A6" s="30">
        <v>0.097531</v>
      </c>
      <c r="B6" s="31">
        <v>8.753500243655362</v>
      </c>
      <c r="C6" s="31">
        <v>8.753500243655362</v>
      </c>
      <c r="D6" s="31">
        <v>8.753500243655362</v>
      </c>
      <c r="E6" s="31">
        <v>8.753500243655362</v>
      </c>
      <c r="F6" s="31">
        <v>8.753500243655362</v>
      </c>
    </row>
    <row r="7" spans="1:6" x14ac:dyDescent="0.25">
      <c r="A7" s="30">
        <v>0.107531</v>
      </c>
      <c r="B7" s="31">
        <v>8.784606960991395</v>
      </c>
      <c r="C7" s="31">
        <v>8.784606960991395</v>
      </c>
      <c r="D7" s="32">
        <v>8.784606960991395</v>
      </c>
      <c r="E7" s="31">
        <v>8.784606960991395</v>
      </c>
      <c r="F7" s="31">
        <v>8.784606960991395</v>
      </c>
    </row>
    <row r="8" spans="1:6" x14ac:dyDescent="0.25">
      <c r="A8" s="30">
        <v>0.117531</v>
      </c>
      <c r="B8" s="31">
        <v>8.814867837800264</v>
      </c>
      <c r="C8" s="31">
        <v>8.814867837800264</v>
      </c>
      <c r="D8" s="31">
        <v>8.814867837800264</v>
      </c>
      <c r="E8" s="31">
        <v>8.814867837800264</v>
      </c>
      <c r="F8" s="31">
        <v>8.814867837800264</v>
      </c>
    </row>
    <row r="9" spans="1:6" x14ac:dyDescent="0.25">
      <c r="A9" s="30">
        <v>0.127531</v>
      </c>
      <c r="B9" s="31">
        <v>8.844316697923206</v>
      </c>
      <c r="C9" s="31">
        <v>8.844316697923206</v>
      </c>
      <c r="D9" s="31">
        <v>8.844316697923206</v>
      </c>
      <c r="E9" s="31">
        <v>8.844316697923206</v>
      </c>
      <c r="F9" s="31">
        <v>8.844316697923206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1922000000</v>
      </c>
      <c r="C5" s="18">
        <v>3199000000</v>
      </c>
      <c r="D5" s="18">
        <v>6754000000</v>
      </c>
      <c r="E5" s="18">
        <v>18875000000</v>
      </c>
      <c r="F5" s="8" t="s">
        <v>84</v>
      </c>
    </row>
    <row r="6" spans="1:6" x14ac:dyDescent="0.25">
      <c r="A6" t="s">
        <v>44</v>
      </c>
      <c r="B6" s="18">
        <v>-3074000000</v>
      </c>
      <c r="C6" s="18">
        <v>-3945000000</v>
      </c>
      <c r="D6" s="18">
        <v>-4239000000</v>
      </c>
      <c r="E6" s="18">
        <v>9420000000</v>
      </c>
      <c r="F6" s="8" t="s">
        <v>85</v>
      </c>
    </row>
    <row r="7" spans="1:6" x14ac:dyDescent="0.25">
      <c r="A7" t="s">
        <v>86</v>
      </c>
      <c r="B7" s="18">
        <v>215000000</v>
      </c>
      <c r="C7" s="18">
        <v>189000000</v>
      </c>
      <c r="D7" s="18">
        <v>621000000</v>
      </c>
      <c r="E7" s="18">
        <v>348000000</v>
      </c>
      <c r="F7" s="8" t="s">
        <v>87</v>
      </c>
    </row>
    <row r="8" spans="1:6" x14ac:dyDescent="0.25">
      <c r="A8" t="s">
        <v>88</v>
      </c>
      <c r="B8" s="18">
        <v>202000000</v>
      </c>
      <c r="C8" s="18">
        <v>1051000000</v>
      </c>
      <c r="D8" s="18">
        <v>707000000</v>
      </c>
      <c r="E8" s="18">
        <v>400000000</v>
      </c>
      <c r="F8" s="8" t="s">
        <v>89</v>
      </c>
    </row>
    <row r="9" spans="1:6" x14ac:dyDescent="0.25">
      <c r="A9" t="s">
        <v>90</v>
      </c>
      <c r="B9" s="18">
        <v>-233000000</v>
      </c>
      <c r="C9" s="18">
        <v>78000000</v>
      </c>
      <c r="D9" s="18">
        <v>-689000000</v>
      </c>
      <c r="E9" s="18">
        <v>4014000000</v>
      </c>
      <c r="F9" s="8" t="s">
        <v>91</v>
      </c>
    </row>
    <row r="10" spans="1:6" x14ac:dyDescent="0.25">
      <c r="A10" t="s">
        <v>92</v>
      </c>
      <c r="B10" s="18">
        <v>1305000000</v>
      </c>
      <c r="C10" s="18">
        <v>747000000</v>
      </c>
      <c r="D10" s="18">
        <v>1243000000</v>
      </c>
      <c r="E10" s="18">
        <v>1200000000</v>
      </c>
      <c r="F10" s="8" t="s">
        <v>93</v>
      </c>
    </row>
    <row r="11" spans="1:6" x14ac:dyDescent="0.25">
      <c r="A11" t="s">
        <v>94</v>
      </c>
      <c r="B11" s="18">
        <v>5799000000</v>
      </c>
      <c r="C11" s="18">
        <v>7025000000</v>
      </c>
      <c r="D11" s="18">
        <v>8604000000</v>
      </c>
      <c r="E11" s="18">
        <v>9902000000</v>
      </c>
      <c r="F11" s="8" t="s">
        <v>95</v>
      </c>
    </row>
    <row r="12" spans="1:6" x14ac:dyDescent="0.25">
      <c r="A12" t="s">
        <v>32</v>
      </c>
      <c r="B12" s="34">
        <v>389000000</v>
      </c>
      <c r="C12" s="34">
        <v>384000000</v>
      </c>
      <c r="D12" s="34">
        <v>382000000</v>
      </c>
      <c r="E12" s="34">
        <v>416000000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2026-09-19T00:07:55Z</dcterms:modified>
</cp:coreProperties>
</file>