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<sst xmlns="http://schemas.openxmlformats.org/spreadsheetml/2006/main" count="122" uniqueCount="109">
  <si>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Moderna, Inc. (MRNA)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</si>
  <si>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</si>
  <si>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</si>
  <si>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</si>
  <si>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</si>
  <si>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</si>
  <si>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</si>
  <si>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</si>
  <si>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</si>
  <si>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</si>
  <si>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</si>
  <si>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</si>
  <si>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</si>
  <si>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</si>
  <si>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</si>
  <si>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</si>
  <si>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</si>
  <si>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</si>
  <si>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</si>
  <si>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</si>
  <si>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</si>
  <si>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</si>
  <si>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</si>
  <si>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</si>
  <si>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-307.4x interest cover, capped at 200bp because one year's cover is too noisy to charge more. Book interest / average debt was lower, at 1.0%.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</si>
  <si>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</si>
  <si>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</si>
  <si>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</si>
  <si>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</si>
  <si>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</si>
  <si>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</si>
  <si>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</si>
  <si>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</si>
  <si>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</si>
  <si>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</si>
  <si>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</si>
  <si>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</si>
  <si>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</si>
  <si>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</si>
  <si>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</si>
  <si>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</si>
  <si>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</si>
  <si>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</si>
  <si>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</si>
  <si>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</si>
  <si>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</si>
  <si>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</si>
  <si>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</si>
  <si>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</si>
  <si>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</si>
  <si>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</si>
  <si>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</si>
  <si>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</si>
  <si>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</si>
  <si>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</si>
  <si>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</si>
  <si>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</si>
  <si>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</si>
  <si>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</si>
  <si>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</si>
  <si>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</si>
  <si>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</si>
  <si>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</si>
  <si>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</si>
  <si>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</si>
  <si>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</si>
  <si>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</si>
  <si>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</si>
  <si>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</si>
  <si>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</si>
  <si>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</si>
  <si>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</si>
  <si>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</si>
  <si>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</si>
  <si>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</si>
  <si>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</si>
  <si>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</si>
  <si>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</si>
  <si>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</si>
  <si>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</si>
  <si>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</si>
  <si>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</si>
  <si>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</si>
  <si>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</si>
  <si>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</si>
  <si>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</si>
  <si>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</si>
  <si>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</si>
  <si>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</si>
  <si>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</si>
  <si>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</si>
  <si>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</si>
  <si>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</si>
  <si>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</si>
  <si>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</si>
  <si>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</si>
  <si>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</si>
  <si>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</si>
  <si>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</si>
  <si>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</si>
  <si>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</si>
  <si>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</si>
  <si>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</si>
  <si>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</si>
  <si>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</si>
  <si>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</si>
  <si>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14.0% of revenue against depreciation of 7.0%.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</si>
  <si>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No usable EV/EBITDA (EBITDA is not positive), so the exit multiple falls back to 8x.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</si>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</sst>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0.09364071800208107</v>
      </c>
    </row>
    <row r="7" spans="1:2" x14ac:dyDescent="0.25">
      <c r="A7" t="s">
        <v>4</v>
      </c>
      <c r="B7" s="5">
        <v>-0.7402821873178236</v>
      </c>
    </row>
    <row r="8" spans="1:2" x14ac:dyDescent="0.25">
      <c r="A8" t="s">
        <v>5</v>
      </c>
      <c r="B8" s="5">
        <v>0.1266840731070496</v>
      </c>
    </row>
    <row r="9" spans="1:2" x14ac:dyDescent="0.25">
      <c r="A9" t="s">
        <v>6</v>
      </c>
      <c r="B9" s="5">
        <v>0.07033155143583335</v>
      </c>
    </row>
    <row r="10" spans="1:3" x14ac:dyDescent="0.25">
      <c r="A10" t="s">
        <v>7</v>
      </c>
      <c r="B10" s="5">
        <v>0.13987744651378026</v>
      </c>
      <c r="C10" s="6" t="s">
        <v>8</v>
      </c>
    </row>
    <row r="11" spans="1:2" x14ac:dyDescent="0.25">
      <c r="A11" t="s">
        <v>9</v>
      </c>
      <c r="B11" s="5">
        <v>0.053434256318810026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5">
        <v>0.4301958914046747</v>
      </c>
      <c r="C14" s="6" t="s">
        <v>13</v>
      </c>
    </row>
    <row r="15" spans="1:3" x14ac:dyDescent="0.25">
      <c r="A15" t="s">
        <v>14</v>
      </c>
      <c r="B15" s="5">
        <v>0.07033155143583335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1.06365</v>
      </c>
      <c r="C19" s="6" t="s">
        <v>21</v>
      </c>
    </row>
    <row r="20" spans="1:2" x14ac:dyDescent="0.25">
      <c r="A20" t="s">
        <v>22</v>
      </c>
      <c r="B20" s="9">
        <f>B17+B19*B18</f>
        <v>0.093932395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88518582272</v>
      </c>
    </row>
    <row r="23" spans="1:2" x14ac:dyDescent="0.25">
      <c r="A23" t="s">
        <v>26</v>
      </c>
      <c r="B23" s="10">
        <v>1305000000</v>
      </c>
    </row>
    <row r="24" spans="1:2" x14ac:dyDescent="0.25">
      <c r="A24" t="s">
        <v>27</v>
      </c>
      <c r="B24" s="9">
        <f>B22/(B22+B23)</f>
        <v>0.9854715213199997</v>
      </c>
    </row>
    <row r="25" spans="1:2" x14ac:dyDescent="0.25">
      <c r="A25" t="s">
        <v>28</v>
      </c>
      <c r="B25" s="9">
        <f>1-B24</f>
        <v>0.01452847868000029</v>
      </c>
    </row>
    <row r="26" spans="1:2" x14ac:dyDescent="0.25">
      <c r="A26" t="s">
        <v>29</v>
      </c>
      <c r="B26" s="11">
        <f>B24*B20+B25*B21*(1-B8)</f>
        <v>0.0934424076006807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1922000000</v>
      </c>
      <c r="C29" s="6" t="s">
        <v>32</v>
      </c>
    </row>
    <row r="30" spans="1:2" x14ac:dyDescent="0.25">
      <c r="A30" t="s">
        <v>33</v>
      </c>
      <c r="B30" s="10">
        <v>-4494000000</v>
      </c>
    </row>
    <row r="31" spans="1:2" x14ac:dyDescent="0.25">
      <c r="A31" t="s">
        <v>34</v>
      </c>
      <c r="B31" s="12">
        <v>389000000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0.09364071800208107</v>
      </c>
      <c r="C5" s="5">
        <v>0.16259144377314105</v>
      </c>
      <c r="D5" s="5">
        <v>0.1453925133014984</v>
      </c>
      <c r="E5" s="5">
        <v>0.1281935828298558</v>
      </c>
      <c r="F5" s="5">
        <v>0.11099465235821315</v>
      </c>
      <c r="G5" s="5">
        <v>0.09379572188657052</v>
      </c>
      <c r="H5" s="5">
        <v>0.0765967914149279</v>
      </c>
      <c r="I5" s="5">
        <v>0.05939786094328525</v>
      </c>
      <c r="J5" s="5">
        <v>0.04219893047164262</v>
      </c>
      <c r="K5" s="5">
        <v>0.024999999999999994</v>
      </c>
    </row>
    <row r="6" spans="1:11" x14ac:dyDescent="0.25">
      <c r="A6" t="s">
        <v>50</v>
      </c>
      <c r="B6" s="18">
        <f>Assumptions!B29*(1+B5)</f>
        <v>2101977459.9999998</v>
      </c>
      <c r="C6" s="18">
        <f>B6*(1+C5)</f>
        <v>2443741009.9999995</v>
      </c>
      <c r="D6" s="18">
        <f>C6*(1+D5)</f>
        <v>2799042657.3018417</v>
      </c>
      <c r="E6" s="18">
        <f>D6*(1+E5)</f>
        <v>3157861964.034965</v>
      </c>
      <c r="F6" s="18">
        <f>E6*(1+F5)</f>
        <v>3508367754.92825</v>
      </c>
      <c r="G6" s="18">
        <f>F6*(1+G5)</f>
        <v>3837437641.145312</v>
      </c>
      <c r="H6" s="18">
        <f>G6*(1+H5)</f>
        <v>4131373051.711912</v>
      </c>
      <c r="I6" s="18">
        <f>H6*(1+I5)</f>
        <v>4376767773.742332</v>
      </c>
      <c r="J6" s="18">
        <f>I6*(1+J5)</f>
        <v>4561462692.717011</v>
      </c>
      <c r="K6" s="18">
        <f>J6*(1+K5)</f>
        <v>4675499260.034936</v>
      </c>
    </row>
    <row r="7" spans="1:11" x14ac:dyDescent="0.25">
      <c r="A7" t="s">
        <v>4</v>
      </c>
      <c r="B7" s="9">
        <f>Assumptions!B7</f>
        <v>-0.7402821873178236</v>
      </c>
      <c r="C7" s="9">
        <f>Assumptions!B7</f>
        <v>-0.7402821873178236</v>
      </c>
      <c r="D7" s="9">
        <f>Assumptions!B7</f>
        <v>-0.7402821873178236</v>
      </c>
      <c r="E7" s="9">
        <f>Assumptions!B7</f>
        <v>-0.7402821873178236</v>
      </c>
      <c r="F7" s="9">
        <f>Assumptions!B7</f>
        <v>-0.7402821873178236</v>
      </c>
      <c r="G7" s="9">
        <f>Assumptions!B7</f>
        <v>-0.7402821873178236</v>
      </c>
      <c r="H7" s="9">
        <f>Assumptions!B7</f>
        <v>-0.7402821873178236</v>
      </c>
      <c r="I7" s="9">
        <f>Assumptions!B7</f>
        <v>-0.7402821873178236</v>
      </c>
      <c r="J7" s="9">
        <f>Assumptions!B7</f>
        <v>-0.7402821873178236</v>
      </c>
      <c r="K7" s="9">
        <f>Assumptions!B7</f>
        <v>-0.7402821873178236</v>
      </c>
    </row>
    <row r="8" spans="1:11" x14ac:dyDescent="0.25">
      <c r="A8" t="s">
        <v>51</v>
      </c>
      <c r="B8" s="18">
        <f>B6*B7</f>
        <v>-1556056471.7815628</v>
      </c>
      <c r="C8" s="18">
        <f>C6*C7</f>
        <v>-1809057940.121067</v>
      </c>
      <c r="D8" s="18">
        <f>D6*D7</f>
        <v>-2072081420.7433007</v>
      </c>
      <c r="E8" s="18">
        <f>E6*E7</f>
        <v>-2337708961.9835625</v>
      </c>
      <c r="F8" s="18">
        <f>F6*F7</f>
        <v>-2597182155.533607</v>
      </c>
      <c r="G8" s="18">
        <f>G6*G7</f>
        <v>-2840786730.682801</v>
      </c>
      <c r="H8" s="18">
        <f>H6*H7</f>
        <v>-3058381879.347206</v>
      </c>
      <c r="I8" s="18">
        <f>I6*I7</f>
        <v>-3240043220.928135</v>
      </c>
      <c r="J8" s="18">
        <f>J6*J7</f>
        <v>-3376769579.533199</v>
      </c>
      <c r="K8" s="18">
        <f>K6*K7</f>
        <v>-3461188819.021528</v>
      </c>
    </row>
    <row r="9" spans="1:11" x14ac:dyDescent="0.25">
      <c r="A9" t="s">
        <v>52</v>
      </c>
      <c r="B9" s="18">
        <f>B8*(1-Assumptions!B8)</f>
        <v>-1358928899.9516897</v>
      </c>
      <c r="C9" s="18">
        <f>C8*(1-Assumptions!B8)</f>
        <v>-1579879111.7798812</v>
      </c>
      <c r="D9" s="18">
        <f>D8*(1-Assumptions!B8)</f>
        <v>-1809581706.5540972</v>
      </c>
      <c r="E9" s="18">
        <f>E8*(1-Assumptions!B8)</f>
        <v>-2041558468.9406319</v>
      </c>
      <c r="F9" s="18">
        <f>F8*(1-Assumptions!B8)</f>
        <v>-2268160541.469663</v>
      </c>
      <c r="G9" s="18">
        <f>G8*(1-Assumptions!B8)</f>
        <v>-2480904296.8114448</v>
      </c>
      <c r="H9" s="18">
        <f>H8*(1-Assumptions!B8)</f>
        <v>-2670933605.7547092</v>
      </c>
      <c r="I9" s="18">
        <f>I8*(1-Assumptions!B8)</f>
        <v>-2829581348.658075</v>
      </c>
      <c r="J9" s="18">
        <f>J8*(1-Assumptions!B8)</f>
        <v>-2948986655.253954</v>
      </c>
      <c r="K9" s="18">
        <f>K8*(1-Assumptions!B8)</f>
        <v>-3022711321.635302</v>
      </c>
    </row>
    <row r="10" spans="1:11" x14ac:dyDescent="0.25">
      <c r="A10" t="s">
        <v>53</v>
      </c>
      <c r="B10" s="18">
        <f>B6*Assumptions!B9</f>
        <v>147835335.84495232</v>
      </c>
      <c r="C10" s="18">
        <f>C6*Assumptions!B9</f>
        <v>171872096.5406703</v>
      </c>
      <c r="D10" s="18">
        <f>D6*Assumptions!B9</f>
        <v>196861012.62311614</v>
      </c>
      <c r="E10" s="18">
        <f>E6*Assumptions!B9</f>
        <v>222097331.15078685</v>
      </c>
      <c r="F10" s="18">
        <f>F6*Assumptions!B9</f>
        <v>246748947.21155536</v>
      </c>
      <c r="G10" s="18">
        <f>G6*Assumptions!B9</f>
        <v>269892942.8400145</v>
      </c>
      <c r="H10" s="18">
        <f>H6*Assumptions!B9</f>
        <v>290565876.28709215</v>
      </c>
      <c r="I10" s="18">
        <f>I6*Assumptions!B9</f>
        <v>307824867.80165666</v>
      </c>
      <c r="J10" s="18">
        <f>J6*Assumptions!B9</f>
        <v>320814747.9954614</v>
      </c>
      <c r="K10" s="18">
        <f>K6*Assumptions!B9</f>
        <v>328835116.69534785</v>
      </c>
    </row>
    <row r="11" spans="1:11" x14ac:dyDescent="0.25">
      <c r="A11" t="s">
        <v>54</v>
      </c>
      <c r="B11" s="18">
        <f>-B6*B19</f>
        <v>-294019239.73432165</v>
      </c>
      <c r="C11" s="18">
        <f>-C6*C19</f>
        <v>-322940679.5443467</v>
      </c>
      <c r="D11" s="18">
        <f>-D6*D19</f>
        <v>-348264733.5946585</v>
      </c>
      <c r="E11" s="18">
        <f>-E6*E19</f>
        <v>-368508222.36506355</v>
      </c>
      <c r="F11" s="18">
        <f>-F6*F19</f>
        <v>-382300378.1999399</v>
      </c>
      <c r="G11" s="18">
        <f>-G6*G19</f>
        <v>-388505403.0885726</v>
      </c>
      <c r="H11" s="18">
        <f>-H6*H19</f>
        <v>-386339221.8811635</v>
      </c>
      <c r="I11" s="18">
        <f>-I6*I19</f>
        <v>-375466252.7734841</v>
      </c>
      <c r="J11" s="18">
        <f>-J6*J19</f>
        <v>-356062637.53209096</v>
      </c>
      <c r="K11" s="18">
        <f>-K6*K19</f>
        <v>-328835116.69534785</v>
      </c>
    </row>
    <row r="12" spans="1:11" x14ac:dyDescent="0.25">
      <c r="A12" t="s">
        <v>55</v>
      </c>
      <c r="B12" s="18">
        <f>-(B6-Assumptions!B29)*Assumptions!B11</f>
        <v>-9616961.729248365</v>
      </c>
      <c r="C12" s="18">
        <f>-(C6-B6)*Assumptions!B11</f>
        <v>-18261881.131126434</v>
      </c>
      <c r="D12" s="18">
        <f>-(D6-C6)*Assumptions!B11</f>
        <v>-18985279.292422075</v>
      </c>
      <c r="E12" s="18">
        <f>-(E6-D6)*Assumptions!B11</f>
        <v>-19173242.808115426</v>
      </c>
      <c r="F12" s="18">
        <f>-(F6-E6)*Assumptions!B11</f>
        <v>-18729016.27181901</v>
      </c>
      <c r="G12" s="18">
        <f>-(G6-F6)*Assumptions!B11</f>
        <v>-17583604.64692414</v>
      </c>
      <c r="H12" s="18">
        <f>-(H6-G6)*Assumptions!B11</f>
        <v>-15706220.069390383</v>
      </c>
      <c r="I12" s="18">
        <f>-(I6-H6)*Assumptions!B11</f>
        <v>-13112484.476256616</v>
      </c>
      <c r="J12" s="18">
        <f>-(J6-I6)*Assumptions!B11</f>
        <v>-9869035.641274847</v>
      </c>
      <c r="K12" s="18">
        <f>-(K6-J6)*Assumptions!B11</f>
        <v>-6093459.167783212</v>
      </c>
    </row>
    <row r="13" spans="1:11" x14ac:dyDescent="0.25">
      <c r="A13" s="19" t="s">
        <v>56</v>
      </c>
      <c r="B13" s="20">
        <f>B9+B10+B11+B12</f>
        <v>-1514729765.5703073</v>
      </c>
      <c r="C13" s="20">
        <f>C9+C10+C11+C12</f>
        <v>-1749209575.9146838</v>
      </c>
      <c r="D13" s="20">
        <f>D9+D10+D11+D12</f>
        <v>-1979970706.8180616</v>
      </c>
      <c r="E13" s="20">
        <f>E9+E10+E11+E12</f>
        <v>-2207142602.963024</v>
      </c>
      <c r="F13" s="20">
        <f>F9+F10+F11+F12</f>
        <v>-2422440988.7298665</v>
      </c>
      <c r="G13" s="20">
        <f>G9+G10+G11+G12</f>
        <v>-2617100361.706927</v>
      </c>
      <c r="H13" s="20">
        <f>H9+H10+H11+H12</f>
        <v>-2782413171.418171</v>
      </c>
      <c r="I13" s="20">
        <f>I9+I10+I11+I12</f>
        <v>-2910335218.106159</v>
      </c>
      <c r="J13" s="20">
        <f>J9+J10+J11+J12</f>
        <v>-2994103580.4318585</v>
      </c>
      <c r="K13" s="20">
        <f>K9+K10+K11+K12</f>
        <v>-3028804780.8030853</v>
      </c>
    </row>
    <row r="14" spans="1:11" x14ac:dyDescent="0.25">
      <c r="A14" t="s">
        <v>57</v>
      </c>
      <c r="B14" s="21">
        <f>1/(1+Assumptions!$B$26)^(1-0.5*Assumptions!$B$32)</f>
        <v>0.9563173682162612</v>
      </c>
      <c r="C14" s="21">
        <f>1/(1+Assumptions!$B$26)^(2-0.5*Assumptions!$B$32)</f>
        <v>0.8745932676186299</v>
      </c>
      <c r="D14" s="21">
        <f>1/(1+Assumptions!$B$26)^(3-0.5*Assumptions!$B$32)</f>
        <v>0.7998530709429249</v>
      </c>
      <c r="E14" s="21">
        <f>1/(1+Assumptions!$B$26)^(4-0.5*Assumptions!$B$32)</f>
        <v>0.7314999540744235</v>
      </c>
      <c r="F14" s="21">
        <f>1/(1+Assumptions!$B$26)^(5-0.5*Assumptions!$B$32)</f>
        <v>0.6689880957512334</v>
      </c>
      <c r="G14" s="21">
        <f>1/(1+Assumptions!$B$26)^(6-0.5*Assumptions!$B$32)</f>
        <v>0.6118183190088454</v>
      </c>
      <c r="H14" s="21">
        <f>1/(1+Assumptions!$B$26)^(7-0.5*Assumptions!$B$32)</f>
        <v>0.5595341050941552</v>
      </c>
      <c r="I14" s="21">
        <f>1/(1+Assumptions!$B$26)^(8-0.5*Assumptions!$B$32)</f>
        <v>0.5117179480187987</v>
      </c>
      <c r="J14" s="21">
        <f>1/(1+Assumptions!$B$26)^(9-0.5*Assumptions!$B$32)</f>
        <v>0.46798802064175593</v>
      </c>
      <c r="K14" s="21">
        <f>1/(1+Assumptions!$B$26)^(10-0.5*Assumptions!$B$32)</f>
        <v>0.4279951256588382</v>
      </c>
    </row>
    <row r="15" spans="1:11" x14ac:dyDescent="0.25">
      <c r="A15" s="19" t="s">
        <v>58</v>
      </c>
      <c r="B15" s="20">
        <f>B13*B14</f>
        <v>-1448562382.9690306</v>
      </c>
      <c r="C15" s="20">
        <f>C13*C14</f>
        <v>-1529846918.749021</v>
      </c>
      <c r="D15" s="20">
        <f>D13*D14</f>
        <v>-1583685650.2254603</v>
      </c>
      <c r="E15" s="20">
        <f>E13*E14</f>
        <v>-1614524712.7031558</v>
      </c>
      <c r="F15" s="20">
        <f>F13*F14</f>
        <v>-1620584184.1201284</v>
      </c>
      <c r="G15" s="20">
        <f>G13*G14</f>
        <v>-1601189943.9769733</v>
      </c>
      <c r="H15" s="20">
        <f>H13*H14</f>
        <v>-1556855063.8716567</v>
      </c>
      <c r="I15" s="20">
        <f>I13*I14</f>
        <v>-1489270765.8561265</v>
      </c>
      <c r="J15" s="20">
        <f>J13*J14</f>
        <v>-1401204608.2027</v>
      </c>
      <c r="K15" s="20">
        <f>K13*K14</f>
        <v>-1296313682.7559063</v>
      </c>
    </row>
    <row r="17" spans="1:2" x14ac:dyDescent="0.25">
      <c r="A17" s="22" t="s">
        <v>59</v>
      </c>
      <c r="B17" s="23">
        <f>SUM(B15:K15)</f>
        <v>-15142037913.430159</v>
      </c>
    </row>
    <row r="19" spans="1:11" x14ac:dyDescent="0.25">
      <c r="A19" t="s">
        <v>7</v>
      </c>
      <c r="B19" s="9">
        <f>Assumptions!$B$10+($B$20-Assumptions!$B$10)*0/9</f>
        <v>0.13987744651378026</v>
      </c>
      <c r="C19" s="9">
        <f>Assumptions!$B$10+($B$20-Assumptions!$B$10)*1/9</f>
        <v>0.13215012483845281</v>
      </c>
      <c r="D19" s="9">
        <f>Assumptions!$B$10+($B$20-Assumptions!$B$10)*2/9</f>
        <v>0.12442280316312539</v>
      </c>
      <c r="E19" s="9">
        <f>Assumptions!$B$10+($B$20-Assumptions!$B$10)*3/9</f>
        <v>0.11669548148779796</v>
      </c>
      <c r="F19" s="9">
        <f>Assumptions!$B$10+($B$20-Assumptions!$B$10)*4/9</f>
        <v>0.10896815981247052</v>
      </c>
      <c r="G19" s="9">
        <f>Assumptions!$B$10+($B$20-Assumptions!$B$10)*5/9</f>
        <v>0.10124083813714307</v>
      </c>
      <c r="H19" s="9">
        <f>Assumptions!$B$10+($B$20-Assumptions!$B$10)*6/9</f>
        <v>0.09351351646181566</v>
      </c>
      <c r="I19" s="9">
        <f>Assumptions!$B$10+($B$20-Assumptions!$B$10)*7/9</f>
        <v>0.08578619478648822</v>
      </c>
      <c r="J19" s="9">
        <f>Assumptions!$B$10+($B$20-Assumptions!$B$10)*8/9</f>
        <v>0.07805887311116078</v>
      </c>
      <c r="K19" s="9">
        <f>Assumptions!$B$10+($B$20-Assumptions!$B$10)*9/9</f>
        <v>0.07033155143583335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0.07033155143583335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-3028804780.8030853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-3022711321.635302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0.05811306081601583</v>
      </c>
    </row>
    <row r="7" spans="1:2" x14ac:dyDescent="0.25">
      <c r="A7" t="s">
        <v>66</v>
      </c>
      <c r="B7" s="18">
        <f>-MAX(B5,0)*B6</f>
        <v>0</v>
      </c>
    </row>
    <row r="8" spans="1:2" x14ac:dyDescent="0.25">
      <c r="A8" t="s">
        <v>67</v>
      </c>
      <c r="B8" s="18">
        <f>IF(OR(Assumptions!$B$33=0,Assumptions!B12&lt;=0),B5,MAX(B5+B7,0))</f>
        <v>0</v>
      </c>
    </row>
    <row r="9" spans="1:2" x14ac:dyDescent="0.25">
      <c r="A9" t="s">
        <v>68</v>
      </c>
      <c r="B9" s="18">
        <f>B8*(1+Assumptions!B12)/(Assumptions!B26-Assumptions!B12)</f>
        <v>0</v>
      </c>
    </row>
    <row r="10" spans="1:2" x14ac:dyDescent="0.25">
      <c r="A10" t="s">
        <v>69</v>
      </c>
      <c r="B10" s="18">
        <f>B9/(1+Assumptions!B26)^(10-0.5*Assumptions!B32)</f>
        <v>0</v>
      </c>
    </row>
    <row r="11" spans="1:2" x14ac:dyDescent="0.25">
      <c r="A11" t="s">
        <v>70</v>
      </c>
      <c r="B11" s="18">
        <f>Forecast!B17+B10</f>
        <v>-15142037913.430159</v>
      </c>
    </row>
    <row r="12" spans="1:2" x14ac:dyDescent="0.25">
      <c r="A12" t="s">
        <v>71</v>
      </c>
      <c r="B12" s="18">
        <f>-Assumptions!B30</f>
        <v>4494000000</v>
      </c>
    </row>
    <row r="13" spans="1:2" x14ac:dyDescent="0.25">
      <c r="A13" t="s">
        <v>72</v>
      </c>
      <c r="B13" s="18">
        <f>B11+B12</f>
        <v>-10648037913.430159</v>
      </c>
    </row>
    <row r="14" spans="1:2" x14ac:dyDescent="0.25">
      <c r="A14" s="19" t="s">
        <v>73</v>
      </c>
      <c r="B14" s="24">
        <f>B13/Assumptions!B31</f>
        <v>-27.372848106504264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-3132353702.32618</v>
      </c>
    </row>
    <row r="18" spans="1:2" x14ac:dyDescent="0.25">
      <c r="A18" t="s">
        <v>68</v>
      </c>
      <c r="B18" s="18">
        <f>B17*Assumptions!B13</f>
        <v>-25058829618.60944</v>
      </c>
    </row>
    <row r="19" spans="1:2" x14ac:dyDescent="0.25">
      <c r="A19" t="s">
        <v>69</v>
      </c>
      <c r="B19" s="18">
        <f>B18/(1+Assumptions!B26)^(10-0.5*Assumptions!B32)</f>
        <v>-10725056931.480164</v>
      </c>
    </row>
    <row r="20" spans="1:2" x14ac:dyDescent="0.25">
      <c r="A20" t="s">
        <v>70</v>
      </c>
      <c r="B20" s="18">
        <f>Forecast!B17+B19</f>
        <v>-25867094844.910324</v>
      </c>
    </row>
    <row r="21" spans="1:2" x14ac:dyDescent="0.25">
      <c r="A21" t="s">
        <v>71</v>
      </c>
      <c r="B21" s="18">
        <f>-Assumptions!B30</f>
        <v>4494000000</v>
      </c>
    </row>
    <row r="22" spans="1:2" x14ac:dyDescent="0.25">
      <c r="A22" t="s">
        <v>72</v>
      </c>
      <c r="B22" s="18">
        <f>B20+B21</f>
        <v>-21373094844.910324</v>
      </c>
    </row>
    <row r="23" spans="1:2" x14ac:dyDescent="0.25">
      <c r="A23" s="19" t="s">
        <v>73</v>
      </c>
      <c r="B23" s="25">
        <f>B22/Assumptions!B31</f>
        <v>-54.94368854732731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221.72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-27.372848106504264</v>
      </c>
    </row>
    <row r="29" spans="1:2" x14ac:dyDescent="0.25">
      <c r="A29" s="19" t="s">
        <v>81</v>
      </c>
      <c r="B29" s="11">
        <f>B28/B26-1</f>
        <v>-1.1234568289126117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0.073442</v>
      </c>
      <c r="B5" s="31">
        <v>-31.11740197591243</v>
      </c>
      <c r="C5" s="31">
        <v>-31.11740197591243</v>
      </c>
      <c r="D5" s="31">
        <v>-31.11740197591243</v>
      </c>
      <c r="E5" s="31">
        <v>-31.11740197591243</v>
      </c>
      <c r="F5" s="31">
        <v>-31.11740197591243</v>
      </c>
    </row>
    <row r="6" spans="1:6" x14ac:dyDescent="0.25">
      <c r="A6" s="30">
        <v>0.083442</v>
      </c>
      <c r="B6" s="31">
        <v>-29.17995430159424</v>
      </c>
      <c r="C6" s="31">
        <v>-29.17995430159424</v>
      </c>
      <c r="D6" s="31">
        <v>-29.17995430159424</v>
      </c>
      <c r="E6" s="31">
        <v>-29.17995430159424</v>
      </c>
      <c r="F6" s="31">
        <v>-29.17995430159424</v>
      </c>
    </row>
    <row r="7" spans="1:6" x14ac:dyDescent="0.25">
      <c r="A7" s="30">
        <v>0.093442</v>
      </c>
      <c r="B7" s="31">
        <v>-27.37291925128893</v>
      </c>
      <c r="C7" s="31">
        <v>-27.37291925128893</v>
      </c>
      <c r="D7" s="32">
        <v>-27.37291925128893</v>
      </c>
      <c r="E7" s="31">
        <v>-27.37291925128893</v>
      </c>
      <c r="F7" s="31">
        <v>-27.37291925128893</v>
      </c>
    </row>
    <row r="8" spans="1:6" x14ac:dyDescent="0.25">
      <c r="A8" s="30">
        <v>0.103442</v>
      </c>
      <c r="B8" s="31">
        <v>-25.68567435273203</v>
      </c>
      <c r="C8" s="31">
        <v>-25.68567435273203</v>
      </c>
      <c r="D8" s="31">
        <v>-25.68567435273203</v>
      </c>
      <c r="E8" s="31">
        <v>-25.68567435273203</v>
      </c>
      <c r="F8" s="31">
        <v>-25.68567435273203</v>
      </c>
    </row>
    <row r="9" spans="1:6" x14ac:dyDescent="0.25">
      <c r="A9" s="30">
        <v>0.113442</v>
      </c>
      <c r="B9" s="31">
        <v>-24.108584893956554</v>
      </c>
      <c r="C9" s="31">
        <v>-24.108584893956554</v>
      </c>
      <c r="D9" s="31">
        <v>-24.108584893956554</v>
      </c>
      <c r="E9" s="31">
        <v>-24.108584893956554</v>
      </c>
      <c r="F9" s="31">
        <v>-24.108584893956554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1922000000</v>
      </c>
      <c r="C5" s="18">
        <v>3199000000</v>
      </c>
      <c r="D5" s="18">
        <v>6754000000</v>
      </c>
      <c r="E5" s="18">
        <v>18875000000</v>
      </c>
      <c r="F5" s="6" t="s">
        <v>91</v>
      </c>
    </row>
    <row r="6" spans="1:6" x14ac:dyDescent="0.25">
      <c r="A6" t="s">
        <v>51</v>
      </c>
      <c r="B6" s="18">
        <v>-3074000000</v>
      </c>
      <c r="C6" s="18">
        <v>-3945000000</v>
      </c>
      <c r="D6" s="18">
        <v>-4239000000</v>
      </c>
      <c r="E6" s="18">
        <v>9420000000</v>
      </c>
      <c r="F6" s="6" t="s">
        <v>92</v>
      </c>
    </row>
    <row r="7" spans="1:6" x14ac:dyDescent="0.25">
      <c r="A7" t="s">
        <v>93</v>
      </c>
      <c r="B7" s="18">
        <v>215000000</v>
      </c>
      <c r="C7" s="18">
        <v>189000000</v>
      </c>
      <c r="D7" s="18">
        <v>621000000</v>
      </c>
      <c r="E7" s="18">
        <v>348000000</v>
      </c>
      <c r="F7" s="6" t="s">
        <v>94</v>
      </c>
    </row>
    <row r="8" spans="1:6" x14ac:dyDescent="0.25">
      <c r="A8" t="s">
        <v>95</v>
      </c>
      <c r="B8" s="18">
        <v>202000000</v>
      </c>
      <c r="C8" s="18">
        <v>1051000000</v>
      </c>
      <c r="D8" s="18">
        <v>707000000</v>
      </c>
      <c r="E8" s="18">
        <v>400000000</v>
      </c>
      <c r="F8" s="6" t="s">
        <v>96</v>
      </c>
    </row>
    <row r="9" spans="1:6" x14ac:dyDescent="0.25">
      <c r="A9" t="s">
        <v>97</v>
      </c>
      <c r="B9" s="18">
        <v>-233000000</v>
      </c>
      <c r="C9" s="18">
        <v>78000000</v>
      </c>
      <c r="D9" s="18">
        <v>-689000000</v>
      </c>
      <c r="E9" s="18">
        <v>4014000000</v>
      </c>
      <c r="F9" s="6" t="s">
        <v>98</v>
      </c>
    </row>
    <row r="10" spans="1:6" x14ac:dyDescent="0.25">
      <c r="A10" t="s">
        <v>99</v>
      </c>
      <c r="B10" s="18">
        <v>1305000000</v>
      </c>
      <c r="C10" s="18">
        <v>747000000</v>
      </c>
      <c r="D10" s="18">
        <v>1243000000</v>
      </c>
      <c r="E10" s="18">
        <v>1200000000</v>
      </c>
      <c r="F10" s="6" t="s">
        <v>100</v>
      </c>
    </row>
    <row r="11" spans="1:6" x14ac:dyDescent="0.25">
      <c r="A11" t="s">
        <v>101</v>
      </c>
      <c r="B11" s="18">
        <v>5799000000</v>
      </c>
      <c r="C11" s="18">
        <v>7025000000</v>
      </c>
      <c r="D11" s="18">
        <v>8604000000</v>
      </c>
      <c r="E11" s="18">
        <v>9902000000</v>
      </c>
      <c r="F11" s="6" t="s">
        <v>102</v>
      </c>
    </row>
    <row r="12" spans="1:6" x14ac:dyDescent="0.25">
      <c r="A12" t="s">
        <v>34</v>
      </c>
      <c r="B12" s="34">
        <v>389000000</v>
      </c>
      <c r="C12" s="34">
        <v>384000000</v>
      </c>
      <c r="D12" s="34">
        <v>382000000</v>
      </c>
      <c r="E12" s="34">
        <v>416000000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22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