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<sst xmlns="http://schemas.openxmlformats.org/spreadsheetml/2006/main" count="112" uniqueCount="100">
  <si>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Melrose Industries PLC (MRO.L)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</si>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</sst>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0.06705708997423576</v>
      </c>
    </row>
    <row r="7" spans="1:2" x14ac:dyDescent="0.25">
      <c r="A7" t="s">
        <v>5</v>
      </c>
      <c r="B7" s="6">
        <v>0.02290938002375236</v>
      </c>
    </row>
    <row r="8" spans="1:2" x14ac:dyDescent="0.25">
      <c r="A8" t="s">
        <v>6</v>
      </c>
      <c r="B8" s="6">
        <v>0.2094017094017094</v>
      </c>
    </row>
    <row r="9" spans="1:2" x14ac:dyDescent="0.25">
      <c r="A9" t="s">
        <v>7</v>
      </c>
      <c r="B9" s="6">
        <v>0.1200607006253504</v>
      </c>
    </row>
    <row r="10" spans="1:2" x14ac:dyDescent="0.25">
      <c r="A10" t="s">
        <v>8</v>
      </c>
      <c r="B10" s="6">
        <v>0.029826628621490436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7.7735740121212125</v>
      </c>
    </row>
    <row r="14" spans="1:3" x14ac:dyDescent="0.25">
      <c r="A14" t="s">
        <v>12</v>
      </c>
      <c r="B14" s="6">
        <v>0.08524908565903544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0.90084</v>
      </c>
      <c r="C19" s="8" t="s">
        <v>19</v>
      </c>
    </row>
    <row r="20" spans="1:2" x14ac:dyDescent="0.25">
      <c r="A20" t="s">
        <v>20</v>
      </c>
      <c r="B20" s="10">
        <f>B17+B19*B18</f>
        <v>0.0945462</v>
      </c>
    </row>
    <row r="21" spans="1:3" x14ac:dyDescent="0.25">
      <c r="A21" t="s">
        <v>21</v>
      </c>
      <c r="B21" s="6">
        <v>0.07100591715976332</v>
      </c>
      <c r="C21" s="8" t="s">
        <v>22</v>
      </c>
    </row>
    <row r="22" spans="1:2" x14ac:dyDescent="0.25">
      <c r="A22" t="s">
        <v>23</v>
      </c>
      <c r="B22" s="11">
        <v>5958838272</v>
      </c>
    </row>
    <row r="23" spans="1:2" x14ac:dyDescent="0.25">
      <c r="A23" t="s">
        <v>24</v>
      </c>
      <c r="B23" s="11">
        <v>1903000000</v>
      </c>
    </row>
    <row r="24" spans="1:2" x14ac:dyDescent="0.25">
      <c r="A24" t="s">
        <v>25</v>
      </c>
      <c r="B24" s="10">
        <f>B22/(B22+B23)</f>
        <v>0.7579446518535558</v>
      </c>
    </row>
    <row r="25" spans="1:2" x14ac:dyDescent="0.25">
      <c r="A25" t="s">
        <v>26</v>
      </c>
      <c r="B25" s="10">
        <f>1-B24</f>
        <v>0.24205534814644425</v>
      </c>
    </row>
    <row r="26" spans="1:2" x14ac:dyDescent="0.25">
      <c r="A26" t="s">
        <v>27</v>
      </c>
      <c r="B26" s="12">
        <f>B24*B20+B25*B21*(1-B8)</f>
        <v>0.08524908565903544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3589000000</v>
      </c>
      <c r="C29" s="8" t="s">
        <v>30</v>
      </c>
    </row>
    <row r="30" spans="1:2" x14ac:dyDescent="0.25">
      <c r="A30" t="s">
        <v>31</v>
      </c>
      <c r="B30" s="11">
        <v>1737000000</v>
      </c>
    </row>
    <row r="31" spans="1:2" x14ac:dyDescent="0.25">
      <c r="A31" t="s">
        <v>32</v>
      </c>
      <c r="B31" s="13">
        <v>1276000000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0.06705708997423576</v>
      </c>
      <c r="C5" s="10">
        <f>Assumptions!B6</f>
        <v>0.06705708997423576</v>
      </c>
      <c r="D5" s="10">
        <f>Assumptions!B6</f>
        <v>0.06705708997423576</v>
      </c>
      <c r="E5" s="10">
        <f>Assumptions!B6</f>
        <v>0.06705708997423576</v>
      </c>
      <c r="F5" s="10">
        <f>Assumptions!B6</f>
        <v>0.06705708997423576</v>
      </c>
    </row>
    <row r="6" spans="1:6" x14ac:dyDescent="0.25">
      <c r="A6" t="s">
        <v>43</v>
      </c>
      <c r="B6" s="18">
        <f>Assumptions!B29*(1+B5)</f>
        <v>3829667895.917532</v>
      </c>
      <c r="C6" s="18">
        <f>B6*(1+C5)</f>
        <v>4086474280.585516</v>
      </c>
      <c r="D6" s="18">
        <f>C6*(1+D5)</f>
        <v>4360501354.096139</v>
      </c>
      <c r="E6" s="18">
        <f>D6*(1+E5)</f>
        <v>4652903885.73054</v>
      </c>
      <c r="F6" s="18">
        <f>E6*(1+F5)</f>
        <v>4964914080.237444</v>
      </c>
    </row>
    <row r="7" spans="1:6" x14ac:dyDescent="0.25">
      <c r="A7" t="s">
        <v>5</v>
      </c>
      <c r="B7" s="10">
        <f>Assumptions!B7</f>
        <v>0.02290938002375236</v>
      </c>
      <c r="C7" s="10">
        <f>Assumptions!B7</f>
        <v>0.02290938002375236</v>
      </c>
      <c r="D7" s="10">
        <f>Assumptions!B7</f>
        <v>0.02290938002375236</v>
      </c>
      <c r="E7" s="10">
        <f>Assumptions!B7</f>
        <v>0.02290938002375236</v>
      </c>
      <c r="F7" s="10">
        <f>Assumptions!B7</f>
        <v>0.02290938002375236</v>
      </c>
    </row>
    <row r="8" spans="1:6" x14ac:dyDescent="0.25">
      <c r="A8" t="s">
        <v>44</v>
      </c>
      <c r="B8" s="18">
        <f>B6*B7</f>
        <v>87735317.19233884</v>
      </c>
      <c r="C8" s="18">
        <f>C6*C7</f>
        <v>93618592.25122362</v>
      </c>
      <c r="D8" s="18">
        <f>D6*D7</f>
        <v>99896382.6150752</v>
      </c>
      <c r="E8" s="18">
        <f>E6*E7</f>
        <v>106595143.33219498</v>
      </c>
      <c r="F8" s="18">
        <f>F6*F7</f>
        <v>113743103.44943853</v>
      </c>
    </row>
    <row r="9" spans="1:6" x14ac:dyDescent="0.25">
      <c r="A9" t="s">
        <v>45</v>
      </c>
      <c r="B9" s="18">
        <f>B8*(1-Assumptions!B8)</f>
        <v>69363391.7973619</v>
      </c>
      <c r="C9" s="18">
        <f>C8*(1-Assumptions!B8)</f>
        <v>74014699.00203577</v>
      </c>
      <c r="D9" s="18">
        <f>D8*(1-Assumptions!B8)</f>
        <v>78977909.33243124</v>
      </c>
      <c r="E9" s="18">
        <f>E8*(1-Assumptions!B8)</f>
        <v>84273938.10451312</v>
      </c>
      <c r="F9" s="18">
        <f>F8*(1-Assumptions!B8)</f>
        <v>89925103.15447062</v>
      </c>
    </row>
    <row r="10" spans="1:6" x14ac:dyDescent="0.25">
      <c r="A10" t="s">
        <v>46</v>
      </c>
      <c r="B10" s="18">
        <f>B6*Assumptions!B9</f>
        <v>459792610.7462704</v>
      </c>
      <c r="C10" s="18">
        <f>C6*Assumptions!B9</f>
        <v>490624965.2145718</v>
      </c>
      <c r="D10" s="18">
        <f>D6*Assumptions!B9</f>
        <v>523524847.6505716</v>
      </c>
      <c r="E10" s="18">
        <f>E6*Assumptions!B9</f>
        <v>558630900.463224</v>
      </c>
      <c r="F10" s="18">
        <f>F6*Assumptions!B9</f>
        <v>596091063.0179747</v>
      </c>
    </row>
    <row r="11" spans="1:6" x14ac:dyDescent="0.25">
      <c r="A11" t="s">
        <v>47</v>
      </c>
      <c r="B11" s="18">
        <f>-B6*Assumptions!B10</f>
        <v>-114226082.07517691</v>
      </c>
      <c r="C11" s="18">
        <f>-C6*Assumptions!B10</f>
        <v>-121885750.7382965</v>
      </c>
      <c r="D11" s="18">
        <f>-D6*Assumptions!B10</f>
        <v>-130059054.4921317</v>
      </c>
      <c r="E11" s="18">
        <f>-E6*Assumptions!B10</f>
        <v>-138780436.2111746</v>
      </c>
      <c r="F11" s="18">
        <f>-F6*Assumptions!B10</f>
        <v>-148086648.408851</v>
      </c>
    </row>
    <row r="12" spans="1:6" x14ac:dyDescent="0.25">
      <c r="A12" t="s">
        <v>48</v>
      </c>
      <c r="B12" s="18">
        <f>-(B6-Assumptions!B29)*Assumptions!B11</f>
        <v>-240667895.91753197</v>
      </c>
      <c r="C12" s="18">
        <f>-(C6-B6)*Assumptions!B11</f>
        <v>-256806384.667984</v>
      </c>
      <c r="D12" s="18">
        <f>-(D6-C6)*Assumptions!B11</f>
        <v>-274027073.510623</v>
      </c>
      <c r="E12" s="18">
        <f>-(E6-D6)*Assumptions!B11</f>
        <v>-292402531.6344013</v>
      </c>
      <c r="F12" s="18">
        <f>-(F6-E6)*Assumptions!B11</f>
        <v>-312010194.50690365</v>
      </c>
    </row>
    <row r="13" spans="1:6" x14ac:dyDescent="0.25">
      <c r="A13" s="19" t="s">
        <v>49</v>
      </c>
      <c r="B13" s="20">
        <f>B9+B10+B11+B12</f>
        <v>174262024.55092347</v>
      </c>
      <c r="C13" s="20">
        <f>C9+C10+C11+C12</f>
        <v>185947528.81032705</v>
      </c>
      <c r="D13" s="20">
        <f>D9+D10+D11+D12</f>
        <v>198416628.9802481</v>
      </c>
      <c r="E13" s="20">
        <f>E9+E10+E11+E12</f>
        <v>211721870.7221613</v>
      </c>
      <c r="F13" s="20">
        <f>F9+F10+F11+F12</f>
        <v>225919323.25669062</v>
      </c>
    </row>
    <row r="14" spans="1:6" x14ac:dyDescent="0.25">
      <c r="A14" t="s">
        <v>50</v>
      </c>
      <c r="B14" s="21">
        <f>1/(1+Assumptions!$B$26)^(1-0.5*Assumptions!$B$32)</f>
        <v>0.9599205423411468</v>
      </c>
      <c r="C14" s="21">
        <f>1/(1+Assumptions!$B$26)^(2-0.5*Assumptions!$B$32)</f>
        <v>0.8845163336472374</v>
      </c>
      <c r="D14" s="21">
        <f>1/(1+Assumptions!$B$26)^(3-0.5*Assumptions!$B$32)</f>
        <v>0.8150353180072943</v>
      </c>
      <c r="E14" s="21">
        <f>1/(1+Assumptions!$B$26)^(4-0.5*Assumptions!$B$32)</f>
        <v>0.7510122134886209</v>
      </c>
      <c r="F14" s="21">
        <f>1/(1+Assumptions!$B$26)^(5-0.5*Assumptions!$B$32)</f>
        <v>0.6920182872419157</v>
      </c>
    </row>
    <row r="15" spans="1:6" x14ac:dyDescent="0.25">
      <c r="A15" s="19" t="s">
        <v>51</v>
      </c>
      <c r="B15" s="20">
        <f>B13*B14</f>
        <v>167277697.11638868</v>
      </c>
      <c r="C15" s="20">
        <f>C13*C14</f>
        <v>164473626.43407452</v>
      </c>
      <c r="D15" s="20">
        <f>D13*D14</f>
        <v>161716560.29885185</v>
      </c>
      <c r="E15" s="20">
        <f>E13*E14</f>
        <v>159005710.775002</v>
      </c>
      <c r="F15" s="20">
        <f>F13*F14</f>
        <v>156340303.13494775</v>
      </c>
    </row>
    <row r="17" spans="1:2" x14ac:dyDescent="0.25">
      <c r="A17" s="22" t="s">
        <v>52</v>
      </c>
      <c r="B17" s="23">
        <f>SUM(B15:F15)</f>
        <v>808813897.7592648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225919323.25669062</v>
      </c>
    </row>
    <row r="5" spans="1:2" x14ac:dyDescent="0.25">
      <c r="A5" t="s">
        <v>56</v>
      </c>
      <c r="B5" s="18">
        <f>IF(Assumptions!$B$33=0,B4,B4-Forecast!F11-Forecast!F10-Forecast!F12)</f>
        <v>440337024.81794226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0.29325827727925063</v>
      </c>
    </row>
    <row r="7" spans="1:2" x14ac:dyDescent="0.25">
      <c r="A7" t="s">
        <v>58</v>
      </c>
      <c r="B7" s="18">
        <f>-MAX(Forecast!F9,0)*B6</f>
        <v>-129132477.32038037</v>
      </c>
    </row>
    <row r="8" spans="1:2" x14ac:dyDescent="0.25">
      <c r="A8" t="s">
        <v>59</v>
      </c>
      <c r="B8" s="18">
        <f>IF(OR(Assumptions!$B$33=0,Assumptions!B12&lt;=0),B5,MAX(B5+B7,0))</f>
        <v>311204547.4975619</v>
      </c>
    </row>
    <row r="9" spans="1:2" x14ac:dyDescent="0.25">
      <c r="A9" t="s">
        <v>60</v>
      </c>
      <c r="B9" s="18">
        <f>B8*(1+Assumptions!B12)/(Assumptions!B26-Assumptions!B12)</f>
        <v>5294431570.135594</v>
      </c>
    </row>
    <row r="10" spans="1:2" x14ac:dyDescent="0.25">
      <c r="A10" t="s">
        <v>61</v>
      </c>
      <c r="B10" s="18">
        <f>B9/(1+Assumptions!B26)^(5-0.5*Assumptions!B32)</f>
        <v>3663843467.0847607</v>
      </c>
    </row>
    <row r="11" spans="1:2" x14ac:dyDescent="0.25">
      <c r="A11" t="s">
        <v>62</v>
      </c>
      <c r="B11" s="18">
        <f>Forecast!B17+B10</f>
        <v>4472657364.844026</v>
      </c>
    </row>
    <row r="12" spans="1:2" x14ac:dyDescent="0.25">
      <c r="A12" t="s">
        <v>63</v>
      </c>
      <c r="B12" s="18">
        <f>-Assumptions!B30</f>
        <v>-1737000000</v>
      </c>
    </row>
    <row r="13" spans="1:2" x14ac:dyDescent="0.25">
      <c r="A13" t="s">
        <v>64</v>
      </c>
      <c r="B13" s="18">
        <f>B11+B12</f>
        <v>2735657364.8440256</v>
      </c>
    </row>
    <row r="14" spans="1:2" x14ac:dyDescent="0.25">
      <c r="A14" s="19" t="s">
        <v>65</v>
      </c>
      <c r="B14" s="24">
        <f>B13/Assumptions!B31</f>
        <v>2.143932104109738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709834166.4674133</v>
      </c>
    </row>
    <row r="18" spans="1:2" x14ac:dyDescent="0.25">
      <c r="A18" t="s">
        <v>60</v>
      </c>
      <c r="B18" s="18">
        <f>B17*Assumptions!B13</f>
        <v>5517948429.366807</v>
      </c>
    </row>
    <row r="19" spans="1:2" x14ac:dyDescent="0.25">
      <c r="A19" t="s">
        <v>61</v>
      </c>
      <c r="B19" s="18">
        <f>B18/(1+Assumptions!B26)^(5-0.5*Assumptions!B32)</f>
        <v>3818521221.179637</v>
      </c>
    </row>
    <row r="20" spans="1:2" x14ac:dyDescent="0.25">
      <c r="A20" t="s">
        <v>62</v>
      </c>
      <c r="B20" s="18">
        <f>Forecast!B17+B19</f>
        <v>4627335118.938902</v>
      </c>
    </row>
    <row r="21" spans="1:2" x14ac:dyDescent="0.25">
      <c r="A21" t="s">
        <v>63</v>
      </c>
      <c r="B21" s="18">
        <f>-Assumptions!B30</f>
        <v>-1737000000</v>
      </c>
    </row>
    <row r="22" spans="1:2" x14ac:dyDescent="0.25">
      <c r="A22" t="s">
        <v>64</v>
      </c>
      <c r="B22" s="18">
        <f>B20+B21</f>
        <v>2890335118.938902</v>
      </c>
    </row>
    <row r="23" spans="1:2" x14ac:dyDescent="0.25">
      <c r="A23" s="19" t="s">
        <v>65</v>
      </c>
      <c r="B23" s="25">
        <f>B22/Assumptions!B31</f>
        <v>2.26515291452892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478.2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214.3932104109738</v>
      </c>
    </row>
    <row r="29" spans="1:2" x14ac:dyDescent="0.25">
      <c r="A29" s="19" t="s">
        <v>73</v>
      </c>
      <c r="B29" s="12">
        <f>B28/B26-1</f>
        <v>-0.551666226660448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0.065249</v>
      </c>
      <c r="B5" s="31">
        <v>3.3417776142217193</v>
      </c>
      <c r="C5" s="31">
        <v>3.3616752082311945</v>
      </c>
      <c r="D5" s="31">
        <v>3.381572802240666</v>
      </c>
      <c r="E5" s="31">
        <v>3.4014703962501405</v>
      </c>
      <c r="F5" s="31">
        <v>3.421367990259613</v>
      </c>
    </row>
    <row r="6" spans="1:6" x14ac:dyDescent="0.25">
      <c r="A6" s="30">
        <v>0.075249</v>
      </c>
      <c r="B6" s="31">
        <v>2.64549462353236</v>
      </c>
      <c r="C6" s="31">
        <v>2.662037578512232</v>
      </c>
      <c r="D6" s="31">
        <v>2.6785805334921027</v>
      </c>
      <c r="E6" s="31">
        <v>2.6951234884719737</v>
      </c>
      <c r="F6" s="31">
        <v>2.711666443451844</v>
      </c>
    </row>
    <row r="7" spans="1:6" x14ac:dyDescent="0.25">
      <c r="A7" s="30">
        <v>0.085249</v>
      </c>
      <c r="B7" s="31">
        <v>2.1159229170647693</v>
      </c>
      <c r="C7" s="31">
        <v>2.129929524794335</v>
      </c>
      <c r="D7" s="32">
        <v>2.1439361325238986</v>
      </c>
      <c r="E7" s="31">
        <v>2.157942740253463</v>
      </c>
      <c r="F7" s="31">
        <v>2.1719493479830283</v>
      </c>
    </row>
    <row r="8" spans="1:6" x14ac:dyDescent="0.25">
      <c r="A8" s="30">
        <v>0.095249</v>
      </c>
      <c r="B8" s="31">
        <v>1.700380766084213</v>
      </c>
      <c r="C8" s="31">
        <v>1.7124099513850568</v>
      </c>
      <c r="D8" s="31">
        <v>1.7244391366859002</v>
      </c>
      <c r="E8" s="31">
        <v>1.7364683219867445</v>
      </c>
      <c r="F8" s="31">
        <v>1.748497507287587</v>
      </c>
    </row>
    <row r="9" spans="1:6" x14ac:dyDescent="0.25">
      <c r="A9" s="30">
        <v>0.105249</v>
      </c>
      <c r="B9" s="31">
        <v>1.3662185880049729</v>
      </c>
      <c r="C9" s="31">
        <v>1.3766685802374563</v>
      </c>
      <c r="D9" s="31">
        <v>1.3871185724699393</v>
      </c>
      <c r="E9" s="31">
        <v>1.3975685647024223</v>
      </c>
      <c r="F9" s="31">
        <v>1.4080185569349046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3589000000</v>
      </c>
      <c r="C5" s="18">
        <v>3468000000</v>
      </c>
      <c r="D5" s="18">
        <v>3350000000</v>
      </c>
      <c r="E5" s="18">
        <v>2954000000</v>
      </c>
      <c r="F5" s="8" t="s">
        <v>84</v>
      </c>
    </row>
    <row r="6" spans="1:6" x14ac:dyDescent="0.25">
      <c r="A6" t="s">
        <v>44</v>
      </c>
      <c r="B6" s="18">
        <v>600000000</v>
      </c>
      <c r="C6" s="18">
        <v>-4000000</v>
      </c>
      <c r="D6" s="18">
        <v>57000000</v>
      </c>
      <c r="E6" s="18">
        <v>-270000000</v>
      </c>
      <c r="F6" s="8" t="s">
        <v>85</v>
      </c>
    </row>
    <row r="7" spans="1:6" x14ac:dyDescent="0.25">
      <c r="A7" t="s">
        <v>86</v>
      </c>
      <c r="B7" s="18">
        <v>390000000</v>
      </c>
      <c r="C7" s="18">
        <v>397000000</v>
      </c>
      <c r="D7" s="18">
        <v>402000000</v>
      </c>
      <c r="E7" s="18">
        <v>405000000</v>
      </c>
      <c r="F7" s="8" t="s">
        <v>87</v>
      </c>
    </row>
    <row r="8" spans="1:6" x14ac:dyDescent="0.25">
      <c r="A8" t="s">
        <v>88</v>
      </c>
      <c r="B8" s="18">
        <v>95000000</v>
      </c>
      <c r="C8" s="18">
        <v>123000000</v>
      </c>
      <c r="D8" s="18">
        <v>106000000</v>
      </c>
      <c r="E8" s="18">
        <v>76000000</v>
      </c>
      <c r="F8" s="8" t="s">
        <v>89</v>
      </c>
    </row>
    <row r="9" spans="1:6" x14ac:dyDescent="0.25">
      <c r="A9" t="s">
        <v>90</v>
      </c>
      <c r="B9" s="18">
        <v>359000000</v>
      </c>
      <c r="C9" s="18">
        <v>329000000</v>
      </c>
      <c r="D9" s="18">
        <v>146000000</v>
      </c>
      <c r="E9" s="18">
        <v>68000000</v>
      </c>
      <c r="F9" s="8" t="s">
        <v>91</v>
      </c>
    </row>
    <row r="10" spans="1:6" x14ac:dyDescent="0.25">
      <c r="A10" t="s">
        <v>92</v>
      </c>
      <c r="B10" s="18">
        <v>1903000000</v>
      </c>
      <c r="C10" s="18">
        <v>1646000000</v>
      </c>
      <c r="D10" s="18">
        <v>822000000</v>
      </c>
      <c r="E10" s="18">
        <v>1862000000</v>
      </c>
      <c r="F10" s="8" t="s">
        <v>93</v>
      </c>
    </row>
    <row r="11" spans="1:6" x14ac:dyDescent="0.25">
      <c r="A11" t="s">
        <v>94</v>
      </c>
      <c r="B11" s="18">
        <v>166000000</v>
      </c>
      <c r="C11" s="18">
        <v>88000000</v>
      </c>
      <c r="D11" s="18">
        <v>58000000</v>
      </c>
      <c r="E11" s="18">
        <v>355000000</v>
      </c>
      <c r="F11" s="8" t="s">
        <v>95</v>
      </c>
    </row>
    <row r="12" spans="1:6" x14ac:dyDescent="0.25">
      <c r="A12" t="s">
        <v>32</v>
      </c>
      <c r="B12" s="34">
        <v>1276000000</v>
      </c>
      <c r="C12" s="34">
        <v>1324000000</v>
      </c>
      <c r="D12" s="34">
        <v>1405000000</v>
      </c>
      <c r="E12" s="34">
        <v>1405999999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