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<sst xmlns="http://schemas.openxmlformats.org/spreadsheetml/2006/main" count="112" uniqueCount="100">
  <si>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Metro Inc. (MRU.TO)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</si>
  <si>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</si>
  <si>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</si>
  <si>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</si>
  <si>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</si>
  <si>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</si>
  <si>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</si>
  <si>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</si>
  <si>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</si>
  <si>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</si>
  <si>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</si>
  <si>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</si>
  <si>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</si>
  <si>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</si>
  <si>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</si>
  <si>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</si>
  <si>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</si>
  <si>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</si>
  <si>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</si>
  <si>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</si>
  <si>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</si>
  <si>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</si>
  <si>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</si>
  <si>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</si>
  <si>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</si>
  <si>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</si>
  <si>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</si>
  <si>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</si>
  <si>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</si>
  <si>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</si>
  <si>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2025-09-30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</si>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</sst>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0.052243096734244876</v>
      </c>
    </row>
    <row r="7" spans="1:2" x14ac:dyDescent="0.25">
      <c r="A7" t="s">
        <v>5</v>
      </c>
      <c r="B7" s="6">
        <v>0.06830860641180098</v>
      </c>
    </row>
    <row r="8" spans="1:2" x14ac:dyDescent="0.25">
      <c r="A8" t="s">
        <v>6</v>
      </c>
      <c r="B8" s="6">
        <v>0.24196624415303247</v>
      </c>
    </row>
    <row r="9" spans="1:2" x14ac:dyDescent="0.25">
      <c r="A9" t="s">
        <v>7</v>
      </c>
      <c r="B9" s="6">
        <v>0.026459173385135724</v>
      </c>
    </row>
    <row r="10" spans="1:2" x14ac:dyDescent="0.25">
      <c r="A10" t="s">
        <v>8</v>
      </c>
      <c r="B10" s="6">
        <v>0.029050898875254763</v>
      </c>
    </row>
    <row r="11" spans="1:2" x14ac:dyDescent="0.25">
      <c r="A11" t="s">
        <v>9</v>
      </c>
      <c r="B11" s="6">
        <v>0.11568746214415505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11.366554361436528</v>
      </c>
    </row>
    <row r="14" spans="1:3" x14ac:dyDescent="0.25">
      <c r="A14" t="s">
        <v>12</v>
      </c>
      <c r="B14" s="6">
        <v>0.11226171889814276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0.5611499999999999</v>
      </c>
      <c r="C19" s="8" t="s">
        <v>19</v>
      </c>
    </row>
    <row r="20" spans="1:2" x14ac:dyDescent="0.25">
      <c r="A20" t="s">
        <v>20</v>
      </c>
      <c r="B20" s="10">
        <f>B17+B19*B18</f>
        <v>0.06386325</v>
      </c>
    </row>
    <row r="21" spans="1:3" x14ac:dyDescent="0.25">
      <c r="A21" t="s">
        <v>21</v>
      </c>
      <c r="B21" s="6">
        <v>0.03682468443197756</v>
      </c>
      <c r="C21" s="8" t="s">
        <v>22</v>
      </c>
    </row>
    <row r="22" spans="1:2" x14ac:dyDescent="0.25">
      <c r="A22" t="s">
        <v>23</v>
      </c>
      <c r="B22" s="11">
        <v>19139559424</v>
      </c>
    </row>
    <row r="23" spans="1:2" x14ac:dyDescent="0.25">
      <c r="A23" t="s">
        <v>24</v>
      </c>
      <c r="B23" s="11">
        <v>4602000000</v>
      </c>
    </row>
    <row r="24" spans="1:2" x14ac:dyDescent="0.25">
      <c r="A24" t="s">
        <v>25</v>
      </c>
      <c r="B24" s="10">
        <f>B22/(B22+B23)</f>
        <v>0.8061626905877166</v>
      </c>
    </row>
    <row r="25" spans="1:2" x14ac:dyDescent="0.25">
      <c r="A25" t="s">
        <v>26</v>
      </c>
      <c r="B25" s="10">
        <f>1-B24</f>
        <v>0.1938373094122834</v>
      </c>
    </row>
    <row r="26" spans="1:2" x14ac:dyDescent="0.25">
      <c r="A26" t="s">
        <v>27</v>
      </c>
      <c r="B26" s="12">
        <f>B24*B20+B25*B21*(1-B8)</f>
        <v>0.056895012693525905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22006700000</v>
      </c>
      <c r="C29" s="8" t="s">
        <v>30</v>
      </c>
    </row>
    <row r="30" spans="1:2" x14ac:dyDescent="0.25">
      <c r="A30" t="s">
        <v>31</v>
      </c>
      <c r="B30" s="11">
        <v>4534700000</v>
      </c>
    </row>
    <row r="31" spans="1:2" x14ac:dyDescent="0.25">
      <c r="A31" t="s">
        <v>32</v>
      </c>
      <c r="B31" s="13">
        <v>226690998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0.052243096734244876</v>
      </c>
      <c r="C5" s="10">
        <f>Assumptions!B6</f>
        <v>0.052243096734244876</v>
      </c>
      <c r="D5" s="10">
        <f>Assumptions!B6</f>
        <v>0.052243096734244876</v>
      </c>
      <c r="E5" s="10">
        <f>Assumptions!B6</f>
        <v>0.052243096734244876</v>
      </c>
      <c r="F5" s="10">
        <f>Assumptions!B6</f>
        <v>0.052243096734244876</v>
      </c>
    </row>
    <row r="6" spans="1:6" x14ac:dyDescent="0.25">
      <c r="A6" t="s">
        <v>43</v>
      </c>
      <c r="B6" s="18">
        <f>Assumptions!B29*(1+B5)</f>
        <v>23156398156.90151</v>
      </c>
      <c r="C6" s="18">
        <f>B6*(1+C5)</f>
        <v>24366160105.829205</v>
      </c>
      <c r="D6" s="18">
        <f>C6*(1+D5)</f>
        <v>25639123765.28014</v>
      </c>
      <c r="E6" s="18">
        <f>D6*(1+E5)</f>
        <v>26978590988.330948</v>
      </c>
      <c r="F6" s="18">
        <f>E6*(1+F5)</f>
        <v>28388036127.087948</v>
      </c>
    </row>
    <row r="7" spans="1:6" x14ac:dyDescent="0.25">
      <c r="A7" t="s">
        <v>5</v>
      </c>
      <c r="B7" s="10">
        <f>Assumptions!B7</f>
        <v>0.06830860641180098</v>
      </c>
      <c r="C7" s="10">
        <f>Assumptions!B7</f>
        <v>0.06830860641180098</v>
      </c>
      <c r="D7" s="10">
        <f>Assumptions!B7</f>
        <v>0.06830860641180098</v>
      </c>
      <c r="E7" s="10">
        <f>Assumptions!B7</f>
        <v>0.06830860641180098</v>
      </c>
      <c r="F7" s="10">
        <f>Assumptions!B7</f>
        <v>0.06830860641180098</v>
      </c>
    </row>
    <row r="8" spans="1:6" x14ac:dyDescent="0.25">
      <c r="A8" t="s">
        <v>44</v>
      </c>
      <c r="B8" s="18">
        <f>B6*B7</f>
        <v>1581781287.6147387</v>
      </c>
      <c r="C8" s="18">
        <f>C6*C7</f>
        <v>1664418440.436014</v>
      </c>
      <c r="D8" s="18">
        <f>D6*D7</f>
        <v>1751372814.0259738</v>
      </c>
      <c r="E8" s="18">
        <f>E6*E7</f>
        <v>1842869953.3668594</v>
      </c>
      <c r="F8" s="18">
        <f>F6*F7</f>
        <v>1939147186.6092374</v>
      </c>
    </row>
    <row r="9" spans="1:6" x14ac:dyDescent="0.25">
      <c r="A9" t="s">
        <v>45</v>
      </c>
      <c r="B9" s="18">
        <f>B8*(1-Assumptions!B8)</f>
        <v>1199043610.3790529</v>
      </c>
      <c r="C9" s="18">
        <f>C8*(1-Assumptions!B8)</f>
        <v>1261685361.7046638</v>
      </c>
      <c r="D9" s="18">
        <f>D8*(1-Assumptions!B8)</f>
        <v>1327599712.1043816</v>
      </c>
      <c r="E9" s="18">
        <f>E8*(1-Assumptions!B8)</f>
        <v>1396957632.2882063</v>
      </c>
      <c r="F9" s="18">
        <f>F8*(1-Assumptions!B8)</f>
        <v>1469939025.0054808</v>
      </c>
    </row>
    <row r="10" spans="1:6" x14ac:dyDescent="0.25">
      <c r="A10" t="s">
        <v>46</v>
      </c>
      <c r="B10" s="18">
        <f>B6*Assumptions!B9</f>
        <v>612699153.8086944</v>
      </c>
      <c r="C10" s="18">
        <f>C6*Assumptions!B9</f>
        <v>644708454.970112</v>
      </c>
      <c r="D10" s="18">
        <f>D6*Assumptions!B9</f>
        <v>678390021.1485012</v>
      </c>
      <c r="E10" s="18">
        <f>E6*Assumptions!B9</f>
        <v>713831216.6469088</v>
      </c>
      <c r="F10" s="18">
        <f>F6*Assumptions!B9</f>
        <v>751123969.9501169</v>
      </c>
    </row>
    <row r="11" spans="1:6" x14ac:dyDescent="0.25">
      <c r="A11" t="s">
        <v>47</v>
      </c>
      <c r="B11" s="18">
        <f>-B6*Assumptions!B10</f>
        <v>-672714181.1712815</v>
      </c>
      <c r="C11" s="18">
        <f>-C6*Assumptions!B10</f>
        <v>-707858853.2127111</v>
      </c>
      <c r="D11" s="18">
        <f>-D6*Assumptions!B10</f>
        <v>-744839591.7552944</v>
      </c>
      <c r="E11" s="18">
        <f>-E6*Assumptions!B10</f>
        <v>-783752318.5988618</v>
      </c>
      <c r="F11" s="18">
        <f>-F6*Assumptions!B10</f>
        <v>-824697966.7951108</v>
      </c>
    </row>
    <row r="12" spans="1:6" x14ac:dyDescent="0.25">
      <c r="A12" t="s">
        <v>48</v>
      </c>
      <c r="B12" s="18">
        <f>-(B6-Assumptions!B29)*Assumptions!B11</f>
        <v>-133005662.00374809</v>
      </c>
      <c r="C12" s="18">
        <f>-(C6-B6)*Assumptions!B11</f>
        <v>-139954289.6700121</v>
      </c>
      <c r="D12" s="18">
        <f>-(D6-C6)*Assumptions!B11</f>
        <v>-147265935.16361517</v>
      </c>
      <c r="E12" s="18">
        <f>-(E6-D6)*Assumptions!B11</f>
        <v>-154959563.66002685</v>
      </c>
      <c r="F12" s="18">
        <f>-(F6-E6)*Assumptions!B11</f>
        <v>-163055131.1342138</v>
      </c>
    </row>
    <row r="13" spans="1:6" x14ac:dyDescent="0.25">
      <c r="A13" s="19" t="s">
        <v>49</v>
      </c>
      <c r="B13" s="20">
        <f>B9+B10+B11+B12</f>
        <v>1006022921.0127176</v>
      </c>
      <c r="C13" s="20">
        <f>C9+C10+C11+C12</f>
        <v>1058580673.7920524</v>
      </c>
      <c r="D13" s="20">
        <f>D9+D10+D11+D12</f>
        <v>1113884206.333973</v>
      </c>
      <c r="E13" s="20">
        <f>E9+E10+E11+E12</f>
        <v>1172076966.6762264</v>
      </c>
      <c r="F13" s="20">
        <f>F9+F10+F11+F12</f>
        <v>1233309897.0262733</v>
      </c>
    </row>
    <row r="14" spans="1:6" x14ac:dyDescent="0.25">
      <c r="A14" t="s">
        <v>50</v>
      </c>
      <c r="B14" s="21">
        <f>1/(1+Assumptions!$B$26)^(1-0.5*Assumptions!$B$32)</f>
        <v>0.972711556716304</v>
      </c>
      <c r="C14" s="21">
        <f>1/(1+Assumptions!$B$26)^(2-0.5*Assumptions!$B$32)</f>
        <v>0.9203483269708332</v>
      </c>
      <c r="D14" s="21">
        <f>1/(1+Assumptions!$B$26)^(3-0.5*Assumptions!$B$32)</f>
        <v>0.8708039265180183</v>
      </c>
      <c r="E14" s="21">
        <f>1/(1+Assumptions!$B$26)^(4-0.5*Assumptions!$B$32)</f>
        <v>0.8239266114982893</v>
      </c>
      <c r="F14" s="21">
        <f>1/(1+Assumptions!$B$26)^(5-0.5*Assumptions!$B$32)</f>
        <v>0.7795728067620357</v>
      </c>
    </row>
    <row r="15" spans="1:6" x14ac:dyDescent="0.25">
      <c r="A15" s="19" t="s">
        <v>51</v>
      </c>
      <c r="B15" s="20">
        <f>B13*B14</f>
        <v>978570121.5905639</v>
      </c>
      <c r="C15" s="20">
        <f>C13*C14</f>
        <v>974262952.0881728</v>
      </c>
      <c r="D15" s="20">
        <f>D13*D14</f>
        <v>969974740.5620301</v>
      </c>
      <c r="E15" s="20">
        <f>E13*E14</f>
        <v>965705403.5687366</v>
      </c>
      <c r="F15" s="20">
        <f>F13*F14</f>
        <v>961454858.032169</v>
      </c>
    </row>
    <row r="17" spans="1:2" x14ac:dyDescent="0.25">
      <c r="A17" s="22" t="s">
        <v>52</v>
      </c>
      <c r="B17" s="23">
        <f>SUM(B15:F15)</f>
        <v>4849968075.841672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1233309897.0262733</v>
      </c>
    </row>
    <row r="5" spans="1:2" x14ac:dyDescent="0.25">
      <c r="A5" t="s">
        <v>56</v>
      </c>
      <c r="B5" s="18">
        <f>IF(Assumptions!$B$33=0,B4,B4-Forecast!F11-Forecast!F10-Forecast!F12)</f>
        <v>1562048922.7968333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0.22269389998101655</v>
      </c>
    </row>
    <row r="7" spans="1:2" x14ac:dyDescent="0.25">
      <c r="A7" t="s">
        <v>58</v>
      </c>
      <c r="B7" s="18">
        <f>-MAX(Forecast!F9,0)*B6</f>
        <v>-347858766.5787726</v>
      </c>
    </row>
    <row r="8" spans="1:2" x14ac:dyDescent="0.25">
      <c r="A8" t="s">
        <v>59</v>
      </c>
      <c r="B8" s="18">
        <f>IF(OR(Assumptions!$B$33=0,Assumptions!B12&lt;=0),B5,MAX(B5+B7,0))</f>
        <v>1214190156.2180607</v>
      </c>
    </row>
    <row r="9" spans="1:2" x14ac:dyDescent="0.25">
      <c r="A9" t="s">
        <v>60</v>
      </c>
      <c r="B9" s="18">
        <f>B8*(1+Assumptions!B12)/(Assumptions!B26-Assumptions!B12)</f>
        <v>39020047494.01249</v>
      </c>
    </row>
    <row r="10" spans="1:2" x14ac:dyDescent="0.25">
      <c r="A10" t="s">
        <v>61</v>
      </c>
      <c r="B10" s="18">
        <f>B9/(1+Assumptions!B26)^(5-0.5*Assumptions!B32)</f>
        <v>30418967944.895252</v>
      </c>
    </row>
    <row r="11" spans="1:2" x14ac:dyDescent="0.25">
      <c r="A11" t="s">
        <v>62</v>
      </c>
      <c r="B11" s="18">
        <f>Forecast!B17+B10</f>
        <v>35268936020.73692</v>
      </c>
    </row>
    <row r="12" spans="1:2" x14ac:dyDescent="0.25">
      <c r="A12" t="s">
        <v>63</v>
      </c>
      <c r="B12" s="18">
        <f>-Assumptions!B30</f>
        <v>-4534700000</v>
      </c>
    </row>
    <row r="13" spans="1:2" x14ac:dyDescent="0.25">
      <c r="A13" t="s">
        <v>64</v>
      </c>
      <c r="B13" s="18">
        <f>B11+B12</f>
        <v>30734236020.736923</v>
      </c>
    </row>
    <row r="14" spans="1:2" x14ac:dyDescent="0.25">
      <c r="A14" s="19" t="s">
        <v>65</v>
      </c>
      <c r="B14" s="24">
        <f>B13/Assumptions!B31</f>
        <v>135.57766427380113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2690271156.5593543</v>
      </c>
    </row>
    <row r="18" spans="1:2" x14ac:dyDescent="0.25">
      <c r="A18" t="s">
        <v>60</v>
      </c>
      <c r="B18" s="18">
        <f>B17*Assumptions!B13</f>
        <v>30579113348.03662</v>
      </c>
    </row>
    <row r="19" spans="1:2" x14ac:dyDescent="0.25">
      <c r="A19" t="s">
        <v>61</v>
      </c>
      <c r="B19" s="18">
        <f>B18/(1+Assumptions!B26)^(5-0.5*Assumptions!B32)</f>
        <v>23838645221.02334</v>
      </c>
    </row>
    <row r="20" spans="1:2" x14ac:dyDescent="0.25">
      <c r="A20" t="s">
        <v>62</v>
      </c>
      <c r="B20" s="18">
        <f>Forecast!B17+B19</f>
        <v>28688613296.86501</v>
      </c>
    </row>
    <row r="21" spans="1:2" x14ac:dyDescent="0.25">
      <c r="A21" t="s">
        <v>63</v>
      </c>
      <c r="B21" s="18">
        <f>-Assumptions!B30</f>
        <v>-4534700000</v>
      </c>
    </row>
    <row r="22" spans="1:2" x14ac:dyDescent="0.25">
      <c r="A22" t="s">
        <v>64</v>
      </c>
      <c r="B22" s="18">
        <f>B20+B21</f>
        <v>24153913296.86501</v>
      </c>
    </row>
    <row r="23" spans="1:2" x14ac:dyDescent="0.25">
      <c r="A23" s="19" t="s">
        <v>65</v>
      </c>
      <c r="B23" s="25">
        <f>B22/Assumptions!B31</f>
        <v>106.54994468225425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91.46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135.57766427380113</v>
      </c>
    </row>
    <row r="29" spans="1:2" x14ac:dyDescent="0.25">
      <c r="A29" s="19" t="s">
        <v>73</v>
      </c>
      <c r="B29" s="12">
        <f>B28/B26-1</f>
        <v>0.48237113791604136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0.036895</v>
      </c>
      <c r="B5" s="31">
        <v>237.55941644083305</v>
      </c>
      <c r="C5" s="31">
        <v>292.9013487482103</v>
      </c>
      <c r="D5" s="31">
        <v>394.54946147772375</v>
      </c>
      <c r="E5" s="31">
        <v>643.2423632344555</v>
      </c>
      <c r="F5" s="31">
        <v>2202.9229750781874</v>
      </c>
    </row>
    <row r="6" spans="1:6" x14ac:dyDescent="0.25">
      <c r="A6" s="30">
        <v>0.046895</v>
      </c>
      <c r="B6" s="31">
        <v>156.48427251675142</v>
      </c>
      <c r="C6" s="31">
        <v>176.65448314293732</v>
      </c>
      <c r="D6" s="31">
        <v>205.92289033846387</v>
      </c>
      <c r="E6" s="31">
        <v>252.36720635785065</v>
      </c>
      <c r="F6" s="31">
        <v>337.646837031943</v>
      </c>
    </row>
    <row r="7" spans="1:6" x14ac:dyDescent="0.25">
      <c r="A7" s="30">
        <v>0.056895</v>
      </c>
      <c r="B7" s="31">
        <v>114.14453353399576</v>
      </c>
      <c r="C7" s="31">
        <v>123.44124282913411</v>
      </c>
      <c r="D7" s="32">
        <v>135.5777255696962</v>
      </c>
      <c r="E7" s="31">
        <v>152.13779293550562</v>
      </c>
      <c r="F7" s="31">
        <v>176.15198931471994</v>
      </c>
    </row>
    <row r="8" spans="1:6" x14ac:dyDescent="0.25">
      <c r="A8" s="30">
        <v>0.066895</v>
      </c>
      <c r="B8" s="31">
        <v>88.14614558253143</v>
      </c>
      <c r="C8" s="31">
        <v>92.93644980857368</v>
      </c>
      <c r="D8" s="31">
        <v>98.81542317837993</v>
      </c>
      <c r="E8" s="31">
        <v>106.22567409841339</v>
      </c>
      <c r="F8" s="31">
        <v>115.88735191037051</v>
      </c>
    </row>
    <row r="9" spans="1:6" x14ac:dyDescent="0.25">
      <c r="A9" s="30">
        <v>0.076895</v>
      </c>
      <c r="B9" s="31">
        <v>70.56742337392411</v>
      </c>
      <c r="C9" s="31">
        <v>73.16556729928094</v>
      </c>
      <c r="D9" s="31">
        <v>76.2219918502462</v>
      </c>
      <c r="E9" s="31">
        <v>79.88328428311857</v>
      </c>
      <c r="F9" s="31">
        <v>84.36601025558052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22006700000</v>
      </c>
      <c r="C5" s="18">
        <v>21219900000</v>
      </c>
      <c r="D5" s="18">
        <v>20724600000</v>
      </c>
      <c r="E5" s="18">
        <v>18888900000</v>
      </c>
      <c r="F5" s="8" t="s">
        <v>84</v>
      </c>
    </row>
    <row r="6" spans="1:6" x14ac:dyDescent="0.25">
      <c r="A6" t="s">
        <v>44</v>
      </c>
      <c r="B6" s="18">
        <v>1488400000</v>
      </c>
      <c r="C6" s="18">
        <v>1409800000</v>
      </c>
      <c r="D6" s="18">
        <v>1440200000</v>
      </c>
      <c r="E6" s="18">
        <v>1316000000</v>
      </c>
      <c r="F6" s="8" t="s">
        <v>85</v>
      </c>
    </row>
    <row r="7" spans="1:6" x14ac:dyDescent="0.25">
      <c r="A7" t="s">
        <v>86</v>
      </c>
      <c r="B7" s="18">
        <v>594400000</v>
      </c>
      <c r="C7" s="18">
        <v>570300000</v>
      </c>
      <c r="D7" s="18">
        <v>525000000</v>
      </c>
      <c r="E7" s="18">
        <v>502800000</v>
      </c>
      <c r="F7" s="8" t="s">
        <v>87</v>
      </c>
    </row>
    <row r="8" spans="1:6" x14ac:dyDescent="0.25">
      <c r="A8" t="s">
        <v>88</v>
      </c>
      <c r="B8" s="18">
        <v>510600000</v>
      </c>
      <c r="C8" s="18">
        <v>579700000</v>
      </c>
      <c r="D8" s="18">
        <v>679900000</v>
      </c>
      <c r="E8" s="18">
        <v>621000000</v>
      </c>
      <c r="F8" s="8" t="s">
        <v>89</v>
      </c>
    </row>
    <row r="9" spans="1:6" x14ac:dyDescent="0.25">
      <c r="A9" t="s">
        <v>90</v>
      </c>
      <c r="B9" s="18">
        <v>126700000</v>
      </c>
      <c r="C9" s="18">
        <v>57300000</v>
      </c>
      <c r="D9" s="18">
        <v>125500000</v>
      </c>
      <c r="E9" s="18">
        <v>115200000</v>
      </c>
      <c r="F9" s="8" t="s">
        <v>91</v>
      </c>
    </row>
    <row r="10" spans="1:6" x14ac:dyDescent="0.25">
      <c r="A10" t="s">
        <v>92</v>
      </c>
      <c r="B10" s="18">
        <v>4602000000</v>
      </c>
      <c r="C10" s="18">
        <v>4310500000</v>
      </c>
      <c r="D10" s="18">
        <v>4324300000</v>
      </c>
      <c r="E10" s="18">
        <v>4121800000</v>
      </c>
      <c r="F10" s="8" t="s">
        <v>93</v>
      </c>
    </row>
    <row r="11" spans="1:6" x14ac:dyDescent="0.25">
      <c r="A11" t="s">
        <v>94</v>
      </c>
      <c r="B11" s="18">
        <v>67300000</v>
      </c>
      <c r="C11" s="18">
        <v>29400000</v>
      </c>
      <c r="D11" s="18">
        <v>29500000</v>
      </c>
      <c r="E11" s="18">
        <v>13400000</v>
      </c>
      <c r="F11" s="8" t="s">
        <v>95</v>
      </c>
    </row>
    <row r="12" spans="1:6" x14ac:dyDescent="0.25">
      <c r="A12" t="s">
        <v>32</v>
      </c>
      <c r="B12" s="34">
        <v>226690998</v>
      </c>
      <c r="C12" s="34">
        <v>225800000</v>
      </c>
      <c r="D12" s="34">
        <v>233300000</v>
      </c>
      <c r="E12" s="34">
        <v>240800000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2026-09-19T00:07:43Z</dcterms:modified>
</cp:coreProperties>
</file>