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<sst xmlns="http://schemas.openxmlformats.org/spreadsheetml/2006/main" count="120" uniqueCount="107">
  <si>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Marvell Technology, Inc. (MRVL)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</si>
  <si>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</si>
  <si>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</si>
  <si>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</si>
  <si>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</si>
  <si>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</si>
  <si>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</si>
  <si>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</si>
  <si>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</si>
  <si>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</si>
  <si>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</si>
  <si>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</si>
  <si>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</si>
  <si>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</si>
  <si>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</si>
  <si>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</si>
  <si>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</si>
  <si>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</si>
  <si>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</si>
  <si>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</si>
  <si>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</si>
  <si>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</si>
  <si>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</si>
  <si>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</si>
  <si>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6.6x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</si>
  <si>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</si>
  <si>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</si>
  <si>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</si>
  <si>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</si>
  <si>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</si>
  <si>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</si>
  <si>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</si>
  <si>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</si>
  <si>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</si>
  <si>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</si>
  <si>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</si>
  <si>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</si>
  <si>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</si>
  <si>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</si>
  <si>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</si>
  <si>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</si>
  <si>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</si>
  <si>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</si>
  <si>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</si>
  <si>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</si>
  <si>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</si>
  <si>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</si>
  <si>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</si>
  <si>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</si>
  <si>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</si>
  <si>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</si>
  <si>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</si>
  <si>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</si>
  <si>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</si>
  <si>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</si>
  <si>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</si>
  <si>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</si>
  <si>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</si>
  <si>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</si>
  <si>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</si>
  <si>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</si>
  <si>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</si>
  <si>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</si>
  <si>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</si>
  <si>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</si>
  <si>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</si>
  <si>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</si>
  <si>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</si>
  <si>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</si>
  <si>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</si>
  <si>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</si>
  <si>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</si>
  <si>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</si>
  <si>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</si>
  <si>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</si>
  <si>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</si>
  <si>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</si>
  <si>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</si>
  <si>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</si>
  <si>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</si>
  <si>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</si>
  <si>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</si>
  <si>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</si>
  <si>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</si>
  <si>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</si>
  <si>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</si>
  <si>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</si>
  <si>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</si>
  <si>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</si>
  <si>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</si>
  <si>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</si>
  <si>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</si>
  <si>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</si>
  <si>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</si>
  <si>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</si>
  <si>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</si>
  <si>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</si>
  <si>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</si>
  <si>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</si>
  <si>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</si>
  <si>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</si>
  <si>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</si>
  <si>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</si>
  <si>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</si>
  <si>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</si>
  <si>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68.0x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</si>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</sst>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0.47292832841139276</v>
      </c>
    </row>
    <row r="7" spans="1:2" x14ac:dyDescent="0.25">
      <c r="A7" t="s">
        <v>4</v>
      </c>
      <c r="B7" s="5">
        <v>0.020318245731567236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0.2204355982013853</v>
      </c>
    </row>
    <row r="10" spans="1:3" x14ac:dyDescent="0.25">
      <c r="A10" t="s">
        <v>7</v>
      </c>
      <c r="B10" s="5">
        <v>0.04865342943668532</v>
      </c>
      <c r="C10" s="6" t="s">
        <v>8</v>
      </c>
    </row>
    <row r="11" spans="1:2" x14ac:dyDescent="0.25">
      <c r="A11" t="s">
        <v>9</v>
      </c>
      <c r="B11" s="5">
        <v>0.14032532168001943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0.12473169653907935</v>
      </c>
      <c r="C14" s="6" t="s">
        <v>13</v>
      </c>
    </row>
    <row r="15" spans="1:3" x14ac:dyDescent="0.25">
      <c r="A15" t="s">
        <v>14</v>
      </c>
      <c r="B15" s="5">
        <v>0.05031073604894075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1.8441999999999998</v>
      </c>
      <c r="C19" s="6" t="s">
        <v>21</v>
      </c>
    </row>
    <row r="20" spans="1:2" x14ac:dyDescent="0.25">
      <c r="A20" t="s">
        <v>22</v>
      </c>
      <c r="B20" s="9">
        <f>B17+B19*B18</f>
        <v>0.12694966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176505585664</v>
      </c>
    </row>
    <row r="23" spans="1:2" x14ac:dyDescent="0.25">
      <c r="A23" t="s">
        <v>26</v>
      </c>
      <c r="B23" s="10">
        <v>4790300000</v>
      </c>
    </row>
    <row r="24" spans="1:2" x14ac:dyDescent="0.25">
      <c r="A24" t="s">
        <v>27</v>
      </c>
      <c r="B24" s="9">
        <f>B22/(B22+B23)</f>
        <v>0.9735774478143537</v>
      </c>
    </row>
    <row r="25" spans="1:2" x14ac:dyDescent="0.25">
      <c r="A25" t="s">
        <v>28</v>
      </c>
      <c r="B25" s="9">
        <f>1-B24</f>
        <v>0.026422552185646264</v>
      </c>
    </row>
    <row r="26" spans="1:2" x14ac:dyDescent="0.25">
      <c r="A26" t="s">
        <v>29</v>
      </c>
      <c r="B26" s="11">
        <f>B24*B20+B25*B21*(1-B8)</f>
        <v>0.12473169653907935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8194600000</v>
      </c>
      <c r="C29" s="6" t="s">
        <v>32</v>
      </c>
    </row>
    <row r="30" spans="1:2" x14ac:dyDescent="0.25">
      <c r="A30" t="s">
        <v>33</v>
      </c>
      <c r="B30" s="10">
        <v>2151500000</v>
      </c>
    </row>
    <row r="31" spans="1:2" x14ac:dyDescent="0.25">
      <c r="A31" t="s">
        <v>34</v>
      </c>
      <c r="B31" s="12">
        <v>869700000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0.47292832841139276</v>
      </c>
      <c r="C5" s="5">
        <v>0.5</v>
      </c>
      <c r="D5" s="5">
        <v>0.440625</v>
      </c>
      <c r="E5" s="5">
        <v>0.38125</v>
      </c>
      <c r="F5" s="5">
        <v>0.321875</v>
      </c>
      <c r="G5" s="5">
        <v>0.2625</v>
      </c>
      <c r="H5" s="5">
        <v>0.203125</v>
      </c>
      <c r="I5" s="5">
        <v>0.14375000000000004</v>
      </c>
      <c r="J5" s="5">
        <v>0.08437500000000003</v>
      </c>
      <c r="K5" s="5">
        <v>0.025000000000000022</v>
      </c>
    </row>
    <row r="6" spans="1:11" x14ac:dyDescent="0.25">
      <c r="A6" t="s">
        <v>50</v>
      </c>
      <c r="B6" s="18">
        <f>Assumptions!B29*(1+B5)</f>
        <v>12070058480</v>
      </c>
      <c r="C6" s="18">
        <f>B6*(1+C5)</f>
        <v>18105087720</v>
      </c>
      <c r="D6" s="18">
        <f>C6*(1+D5)</f>
        <v>26082641996.625</v>
      </c>
      <c r="E6" s="18">
        <f>D6*(1+E5)</f>
        <v>36026649257.83829</v>
      </c>
      <c r="F6" s="18">
        <f>E6*(1+F5)</f>
        <v>47622726987.70499</v>
      </c>
      <c r="G6" s="18">
        <f>F6*(1+G5)</f>
        <v>60123692821.97755</v>
      </c>
      <c r="H6" s="18">
        <f>G6*(1+H5)</f>
        <v>72336317926.44174</v>
      </c>
      <c r="I6" s="18">
        <f>H6*(1+I5)</f>
        <v>82734663628.36775</v>
      </c>
      <c r="J6" s="18">
        <f>I6*(1+J5)</f>
        <v>89715400872.01129</v>
      </c>
      <c r="K6" s="18">
        <f>J6*(1+K5)</f>
        <v>91958285893.81157</v>
      </c>
    </row>
    <row r="7" spans="1:11" x14ac:dyDescent="0.25">
      <c r="A7" t="s">
        <v>4</v>
      </c>
      <c r="B7" s="9">
        <f>Assumptions!B7</f>
        <v>0.020318245731567236</v>
      </c>
      <c r="C7" s="9">
        <f>Assumptions!B7</f>
        <v>0.020318245731567236</v>
      </c>
      <c r="D7" s="9">
        <f>Assumptions!B7</f>
        <v>0.020318245731567236</v>
      </c>
      <c r="E7" s="9">
        <f>Assumptions!B7</f>
        <v>0.020318245731567236</v>
      </c>
      <c r="F7" s="9">
        <f>Assumptions!B7</f>
        <v>0.020318245731567236</v>
      </c>
      <c r="G7" s="9">
        <f>Assumptions!B7</f>
        <v>0.020318245731567236</v>
      </c>
      <c r="H7" s="9">
        <f>Assumptions!B7</f>
        <v>0.020318245731567236</v>
      </c>
      <c r="I7" s="9">
        <f>Assumptions!B7</f>
        <v>0.020318245731567236</v>
      </c>
      <c r="J7" s="9">
        <f>Assumptions!B7</f>
        <v>0.020318245731567236</v>
      </c>
      <c r="K7" s="9">
        <f>Assumptions!B7</f>
        <v>0.020318245731567236</v>
      </c>
    </row>
    <row r="8" spans="1:11" x14ac:dyDescent="0.25">
      <c r="A8" t="s">
        <v>51</v>
      </c>
      <c r="B8" s="18">
        <f>B6*B7</f>
        <v>245242414.19102693</v>
      </c>
      <c r="C8" s="18">
        <f>C6*C7</f>
        <v>367863621.2865404</v>
      </c>
      <c r="D8" s="18">
        <f>D6*D7</f>
        <v>529953529.4159222</v>
      </c>
      <c r="E8" s="18">
        <f>E6*E7</f>
        <v>731998312.5057427</v>
      </c>
      <c r="F8" s="18">
        <f>F6*F7</f>
        <v>967610269.3435286</v>
      </c>
      <c r="G8" s="18">
        <f>G6*G7</f>
        <v>1221607965.046205</v>
      </c>
      <c r="H8" s="18">
        <f>H6*H7</f>
        <v>1469747082.9462154</v>
      </c>
      <c r="I8" s="18">
        <f>I6*I7</f>
        <v>1681023226.119734</v>
      </c>
      <c r="J8" s="18">
        <f>J6*J7</f>
        <v>1822859560.823587</v>
      </c>
      <c r="K8" s="18">
        <f>K6*K7</f>
        <v>1868431049.8441765</v>
      </c>
    </row>
    <row r="9" spans="1:11" x14ac:dyDescent="0.25">
      <c r="A9" t="s">
        <v>52</v>
      </c>
      <c r="B9" s="18">
        <f>B8*(1-Assumptions!B8)</f>
        <v>193741507.21091127</v>
      </c>
      <c r="C9" s="18">
        <f>C8*(1-Assumptions!B8)</f>
        <v>290612260.8163669</v>
      </c>
      <c r="D9" s="18">
        <f>D8*(1-Assumptions!B8)</f>
        <v>418663288.23857856</v>
      </c>
      <c r="E9" s="18">
        <f>E8*(1-Assumptions!B8)</f>
        <v>578278666.8795367</v>
      </c>
      <c r="F9" s="18">
        <f>F8*(1-Assumptions!B8)</f>
        <v>764412112.7813877</v>
      </c>
      <c r="G9" s="18">
        <f>G8*(1-Assumptions!B8)</f>
        <v>965070292.386502</v>
      </c>
      <c r="H9" s="18">
        <f>H8*(1-Assumptions!B8)</f>
        <v>1161100195.5275102</v>
      </c>
      <c r="I9" s="18">
        <f>I8*(1-Assumptions!B8)</f>
        <v>1328008348.63459</v>
      </c>
      <c r="J9" s="18">
        <f>J8*(1-Assumptions!B8)</f>
        <v>1440059053.0506337</v>
      </c>
      <c r="K9" s="18">
        <f>K8*(1-Assumptions!B8)</f>
        <v>1476060529.3768995</v>
      </c>
    </row>
    <row r="10" spans="1:11" x14ac:dyDescent="0.25">
      <c r="A10" t="s">
        <v>53</v>
      </c>
      <c r="B10" s="18">
        <f>B6*Assumptions!B9</f>
        <v>2660670561.3645034</v>
      </c>
      <c r="C10" s="18">
        <f>C6*Assumptions!B9</f>
        <v>3991005842.0467553</v>
      </c>
      <c r="D10" s="18">
        <f>D6*Assumptions!B9</f>
        <v>5749542791.1986065</v>
      </c>
      <c r="E10" s="18">
        <f>E6*Assumptions!B9</f>
        <v>7941555980.343077</v>
      </c>
      <c r="F10" s="18">
        <f>F6*Assumptions!B9</f>
        <v>10497744311.516005</v>
      </c>
      <c r="G10" s="18">
        <f>G6*Assumptions!B9</f>
        <v>13253402193.288956</v>
      </c>
      <c r="H10" s="18">
        <f>H6*Assumptions!B9</f>
        <v>15945499513.800777</v>
      </c>
      <c r="I10" s="18">
        <f>I6*Assumptions!B9</f>
        <v>18237665068.90964</v>
      </c>
      <c r="J10" s="18">
        <f>J6*Assumptions!B9</f>
        <v>19776468059.098892</v>
      </c>
      <c r="K10" s="18">
        <f>K6*Assumptions!B9</f>
        <v>20270879760.576366</v>
      </c>
    </row>
    <row r="11" spans="1:11" x14ac:dyDescent="0.25">
      <c r="A11" t="s">
        <v>54</v>
      </c>
      <c r="B11" s="18">
        <f>-B6*B19</f>
        <v>-587249738.5533452</v>
      </c>
      <c r="C11" s="18">
        <f>-C6*C19</f>
        <v>-944870143.6250008</v>
      </c>
      <c r="D11" s="18">
        <f>-D6*D19</f>
        <v>-1453397119.4144142</v>
      </c>
      <c r="E11" s="18">
        <f>-E6*E19</f>
        <v>-2134847138.0335164</v>
      </c>
      <c r="F11" s="18">
        <f>-F6*F19</f>
        <v>-2990331751.757795</v>
      </c>
      <c r="G11" s="18">
        <f>-G6*G19</f>
        <v>-3987811334.196013</v>
      </c>
      <c r="H11" s="18">
        <f>-H6*H19</f>
        <v>-5053520625.756741</v>
      </c>
      <c r="I11" s="18">
        <f>-I6*I19</f>
        <v>-6072404065.19237</v>
      </c>
      <c r="J11" s="18">
        <f>-J6*J19</f>
        <v>-6901877619.9762125</v>
      </c>
      <c r="K11" s="18">
        <f>-K6*K19</f>
        <v>-7399466883.803432</v>
      </c>
    </row>
    <row r="12" spans="1:11" x14ac:dyDescent="0.25">
      <c r="A12" t="s">
        <v>55</v>
      </c>
      <c r="B12" s="18">
        <f>-(B6-Assumptions!B29)*Assumptions!B11</f>
        <v>-543824957.8635591</v>
      </c>
      <c r="C12" s="18">
        <f>-(C6-B6)*Assumptions!B11</f>
        <v>-846867419.4513232</v>
      </c>
      <c r="D12" s="18">
        <f>-(D6-C6)*Assumptions!B11</f>
        <v>-1119452870.0872178</v>
      </c>
      <c r="E12" s="18">
        <f>-(E6-D6)*Assumptions!B11</f>
        <v>-1395396017.7182035</v>
      </c>
      <c r="F12" s="18">
        <f>-(F6-E6)*Assumptions!B11</f>
        <v>-1627223337.670054</v>
      </c>
      <c r="G12" s="18">
        <f>-(G6-F6)*Assumptions!B11</f>
        <v>-1754202052.0052295</v>
      </c>
      <c r="H12" s="18">
        <f>-(H6-G6)*Assumptions!B11</f>
        <v>-1713740546.3414192</v>
      </c>
      <c r="I12" s="18">
        <f>-(I6-H6)*Assumptions!B11</f>
        <v>-1459151205.562815</v>
      </c>
      <c r="J12" s="18">
        <f>-(J6-I6)*Assumptions!B11</f>
        <v>-979574199.2779719</v>
      </c>
      <c r="K12" s="18">
        <f>-(K6-J6)*Assumptions!B11</f>
        <v>-314733562.17542136</v>
      </c>
    </row>
    <row r="13" spans="1:11" x14ac:dyDescent="0.25">
      <c r="A13" s="19" t="s">
        <v>56</v>
      </c>
      <c r="B13" s="20">
        <f>B9+B10+B11+B12</f>
        <v>1723337372.1585102</v>
      </c>
      <c r="C13" s="20">
        <f>C9+C10+C11+C12</f>
        <v>2489880539.786798</v>
      </c>
      <c r="D13" s="20">
        <f>D9+D10+D11+D12</f>
        <v>3595356089.935553</v>
      </c>
      <c r="E13" s="20">
        <f>E9+E10+E11+E12</f>
        <v>4989591491.470893</v>
      </c>
      <c r="F13" s="20">
        <f>F9+F10+F11+F12</f>
        <v>6644601334.869543</v>
      </c>
      <c r="G13" s="20">
        <f>G9+G10+G11+G12</f>
        <v>8476459099.474215</v>
      </c>
      <c r="H13" s="20">
        <f>H9+H10+H11+H12</f>
        <v>10339338537.230127</v>
      </c>
      <c r="I13" s="20">
        <f>I9+I10+I11+I12</f>
        <v>12034118146.789045</v>
      </c>
      <c r="J13" s="20">
        <f>J9+J10+J11+J12</f>
        <v>13335075292.895342</v>
      </c>
      <c r="K13" s="20">
        <f>K9+K10+K11+K12</f>
        <v>14032739843.974413</v>
      </c>
    </row>
    <row r="14" spans="1:11" x14ac:dyDescent="0.25">
      <c r="A14" t="s">
        <v>57</v>
      </c>
      <c r="B14" s="21">
        <f>1/(1+Assumptions!$B$26)^(1-0.5*Assumptions!$B$32)</f>
        <v>0.9429214878862153</v>
      </c>
      <c r="C14" s="21">
        <f>1/(1+Assumptions!$B$26)^(2-0.5*Assumptions!$B$32)</f>
        <v>0.8383523739818894</v>
      </c>
      <c r="D14" s="21">
        <f>1/(1+Assumptions!$B$26)^(3-0.5*Assumptions!$B$32)</f>
        <v>0.7453798773179329</v>
      </c>
      <c r="E14" s="21">
        <f>1/(1+Assumptions!$B$26)^(4-0.5*Assumptions!$B$32)</f>
        <v>0.6627179438541183</v>
      </c>
      <c r="F14" s="21">
        <f>1/(1+Assumptions!$B$26)^(5-0.5*Assumptions!$B$32)</f>
        <v>0.5892231417442692</v>
      </c>
      <c r="G14" s="21">
        <f>1/(1+Assumptions!$B$26)^(6-0.5*Assumptions!$B$32)</f>
        <v>0.523878844667908</v>
      </c>
      <c r="H14" s="21">
        <f>1/(1+Assumptions!$B$26)^(7-0.5*Assumptions!$B$32)</f>
        <v>0.46578116921568025</v>
      </c>
      <c r="I14" s="21">
        <f>1/(1+Assumptions!$B$26)^(8-0.5*Assumptions!$B$32)</f>
        <v>0.41412647180562173</v>
      </c>
      <c r="J14" s="21">
        <f>1/(1+Assumptions!$B$26)^(9-0.5*Assumptions!$B$32)</f>
        <v>0.3682002321797576</v>
      </c>
      <c r="K14" s="21">
        <f>1/(1+Assumptions!$B$26)^(10-0.5*Assumptions!$B$32)</f>
        <v>0.3273671697105624</v>
      </c>
    </row>
    <row r="15" spans="1:11" x14ac:dyDescent="0.25">
      <c r="A15" s="19" t="s">
        <v>58</v>
      </c>
      <c r="B15" s="20">
        <f>B13*B14</f>
        <v>1624971839.0856228</v>
      </c>
      <c r="C15" s="20">
        <f>C13*C14</f>
        <v>2087397261.4615705</v>
      </c>
      <c r="D15" s="20">
        <f>D13*D14</f>
        <v>2679906081.2304454</v>
      </c>
      <c r="E15" s="20">
        <f>E13*E14</f>
        <v>3306691813.899594</v>
      </c>
      <c r="F15" s="20">
        <f>F13*F14</f>
        <v>3915152874.1699967</v>
      </c>
      <c r="G15" s="20">
        <f>G13*G14</f>
        <v>4440637599.907328</v>
      </c>
      <c r="H15" s="20">
        <f>H13*H14</f>
        <v>4815869192.787789</v>
      </c>
      <c r="I15" s="20">
        <f>I13*I14</f>
        <v>4983646889.421755</v>
      </c>
      <c r="J15" s="20">
        <f>J13*J14</f>
        <v>4909977818.978614</v>
      </c>
      <c r="K15" s="20">
        <f>K13*K14</f>
        <v>4593858326.006542</v>
      </c>
    </row>
    <row r="17" spans="1:2" x14ac:dyDescent="0.25">
      <c r="A17" s="22" t="s">
        <v>59</v>
      </c>
      <c r="B17" s="23">
        <f>SUM(B15:K15)</f>
        <v>37358109696.94925</v>
      </c>
    </row>
    <row r="19" spans="1:11" x14ac:dyDescent="0.25">
      <c r="A19" t="s">
        <v>7</v>
      </c>
      <c r="B19" s="9">
        <f>Assumptions!$B$10+($B$20-Assumptions!$B$10)*0/9</f>
        <v>0.04865342943668532</v>
      </c>
      <c r="C19" s="9">
        <f>Assumptions!$B$10+($B$20-Assumptions!$B$10)*1/9</f>
        <v>0.05218810083870728</v>
      </c>
      <c r="D19" s="9">
        <f>Assumptions!$B$10+($B$20-Assumptions!$B$10)*2/9</f>
        <v>0.05572277224072924</v>
      </c>
      <c r="E19" s="9">
        <f>Assumptions!$B$10+($B$20-Assumptions!$B$10)*3/9</f>
        <v>0.05925744364275119</v>
      </c>
      <c r="F19" s="9">
        <f>Assumptions!$B$10+($B$20-Assumptions!$B$10)*4/9</f>
        <v>0.06279211504477315</v>
      </c>
      <c r="G19" s="9">
        <f>Assumptions!$B$10+($B$20-Assumptions!$B$10)*5/9</f>
        <v>0.06632678644679511</v>
      </c>
      <c r="H19" s="9">
        <f>Assumptions!$B$10+($B$20-Assumptions!$B$10)*6/9</f>
        <v>0.06986145784881707</v>
      </c>
      <c r="I19" s="9">
        <f>Assumptions!$B$10+($B$20-Assumptions!$B$10)*7/9</f>
        <v>0.07339612925083903</v>
      </c>
      <c r="J19" s="9">
        <f>Assumptions!$B$10+($B$20-Assumptions!$B$10)*8/9</f>
        <v>0.076930800652861</v>
      </c>
      <c r="K19" s="9">
        <f>Assumptions!$B$10+($B$20-Assumptions!$B$10)*9/9</f>
        <v>0.08046547205488296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0.08046547205488296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14032739843.974413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13835129191.430128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0.2004302089498744</v>
      </c>
    </row>
    <row r="7" spans="1:2" x14ac:dyDescent="0.25">
      <c r="A7" t="s">
        <v>66</v>
      </c>
      <c r="B7" s="18">
        <f>-MAX(B5,0)*B6</f>
        <v>-2772977834.686847</v>
      </c>
    </row>
    <row r="8" spans="1:2" x14ac:dyDescent="0.25">
      <c r="A8" t="s">
        <v>67</v>
      </c>
      <c r="B8" s="18">
        <f>IF(OR(Assumptions!$B$33=0,Assumptions!B12&lt;=0),B5,MAX(B5+B7,0))</f>
        <v>11062151356.74328</v>
      </c>
    </row>
    <row r="9" spans="1:2" x14ac:dyDescent="0.25">
      <c r="A9" t="s">
        <v>68</v>
      </c>
      <c r="B9" s="18">
        <f>B8*(1+Assumptions!B12)/(Assumptions!B26-Assumptions!B12)</f>
        <v>113692091222.16074</v>
      </c>
    </row>
    <row r="10" spans="1:2" x14ac:dyDescent="0.25">
      <c r="A10" t="s">
        <v>69</v>
      </c>
      <c r="B10" s="18">
        <f>B9/(1+Assumptions!B26)^(10-0.5*Assumptions!B32)</f>
        <v>37219058121.87383</v>
      </c>
    </row>
    <row r="11" spans="1:2" x14ac:dyDescent="0.25">
      <c r="A11" t="s">
        <v>70</v>
      </c>
      <c r="B11" s="18">
        <f>Forecast!B17+B10</f>
        <v>74577167818.82309</v>
      </c>
    </row>
    <row r="12" spans="1:2" x14ac:dyDescent="0.25">
      <c r="A12" t="s">
        <v>71</v>
      </c>
      <c r="B12" s="18">
        <f>-Assumptions!B30</f>
        <v>-2151500000</v>
      </c>
    </row>
    <row r="13" spans="1:2" x14ac:dyDescent="0.25">
      <c r="A13" t="s">
        <v>72</v>
      </c>
      <c r="B13" s="18">
        <f>B11+B12</f>
        <v>72425667818.82309</v>
      </c>
    </row>
    <row r="14" spans="1:2" x14ac:dyDescent="0.25">
      <c r="A14" s="19" t="s">
        <v>73</v>
      </c>
      <c r="B14" s="24">
        <f>B13/Assumptions!B31</f>
        <v>83.2766101170784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22139310810.420544</v>
      </c>
    </row>
    <row r="18" spans="1:2" x14ac:dyDescent="0.25">
      <c r="A18" t="s">
        <v>68</v>
      </c>
      <c r="B18" s="18">
        <f>B17*Assumptions!B13</f>
        <v>442786216208.4109</v>
      </c>
    </row>
    <row r="19" spans="1:2" x14ac:dyDescent="0.25">
      <c r="A19" t="s">
        <v>69</v>
      </c>
      <c r="B19" s="18">
        <f>B18/(1+Assumptions!B26)^(10-0.5*Assumptions!B32)</f>
        <v>144953670386.9966</v>
      </c>
    </row>
    <row r="20" spans="1:2" x14ac:dyDescent="0.25">
      <c r="A20" t="s">
        <v>70</v>
      </c>
      <c r="B20" s="18">
        <f>Forecast!B17+B19</f>
        <v>182311780083.94586</v>
      </c>
    </row>
    <row r="21" spans="1:2" x14ac:dyDescent="0.25">
      <c r="A21" t="s">
        <v>71</v>
      </c>
      <c r="B21" s="18">
        <f>-Assumptions!B30</f>
        <v>-2151500000</v>
      </c>
    </row>
    <row r="22" spans="1:2" x14ac:dyDescent="0.25">
      <c r="A22" t="s">
        <v>72</v>
      </c>
      <c r="B22" s="18">
        <f>B20+B21</f>
        <v>180160280083.94586</v>
      </c>
    </row>
    <row r="23" spans="1:2" x14ac:dyDescent="0.25">
      <c r="A23" s="19" t="s">
        <v>73</v>
      </c>
      <c r="B23" s="25">
        <f>B22/Assumptions!B31</f>
        <v>207.1522135034447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196.4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83.2766101170784</v>
      </c>
    </row>
    <row r="29" spans="1:2" x14ac:dyDescent="0.25">
      <c r="A29" s="19" t="s">
        <v>81</v>
      </c>
      <c r="B29" s="11">
        <f>B28/B26-1</f>
        <v>-0.5759846735382974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0.104732</v>
      </c>
      <c r="B5" s="31">
        <v>106.84477577030603</v>
      </c>
      <c r="C5" s="31">
        <v>105.70931122974982</v>
      </c>
      <c r="D5" s="31">
        <v>104.57384668919357</v>
      </c>
      <c r="E5" s="31">
        <v>103.43838214863733</v>
      </c>
      <c r="F5" s="31">
        <v>102.30291760808107</v>
      </c>
    </row>
    <row r="6" spans="1:6" x14ac:dyDescent="0.25">
      <c r="A6" s="30">
        <v>0.114732</v>
      </c>
      <c r="B6" s="31">
        <v>94.90383424952005</v>
      </c>
      <c r="C6" s="31">
        <v>93.92620214277531</v>
      </c>
      <c r="D6" s="31">
        <v>92.94857003603057</v>
      </c>
      <c r="E6" s="31">
        <v>91.97093792928587</v>
      </c>
      <c r="F6" s="31">
        <v>90.99330582254109</v>
      </c>
    </row>
    <row r="7" spans="1:6" x14ac:dyDescent="0.25">
      <c r="A7" s="30">
        <v>0.124732</v>
      </c>
      <c r="B7" s="31">
        <v>84.97402483848433</v>
      </c>
      <c r="C7" s="31">
        <v>84.12518314239242</v>
      </c>
      <c r="D7" s="32">
        <v>83.27634144630045</v>
      </c>
      <c r="E7" s="31">
        <v>82.42749975020851</v>
      </c>
      <c r="F7" s="31">
        <v>81.57865805411659</v>
      </c>
    </row>
    <row r="8" spans="1:6" x14ac:dyDescent="0.25">
      <c r="A8" s="30">
        <v>0.134732</v>
      </c>
      <c r="B8" s="31">
        <v>76.6035476236907</v>
      </c>
      <c r="C8" s="31">
        <v>75.86119506208959</v>
      </c>
      <c r="D8" s="31">
        <v>75.11884250048846</v>
      </c>
      <c r="E8" s="31">
        <v>74.37648993888735</v>
      </c>
      <c r="F8" s="31">
        <v>73.63413737728622</v>
      </c>
    </row>
    <row r="9" spans="1:6" x14ac:dyDescent="0.25">
      <c r="A9" s="30">
        <v>0.144732</v>
      </c>
      <c r="B9" s="31">
        <v>69.46559299213953</v>
      </c>
      <c r="C9" s="31">
        <v>68.81228345247588</v>
      </c>
      <c r="D9" s="31">
        <v>68.15897391281223</v>
      </c>
      <c r="E9" s="31">
        <v>67.50566437314859</v>
      </c>
      <c r="F9" s="31">
        <v>66.85235483348494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8194600000</v>
      </c>
      <c r="C5" s="18">
        <v>5767300000</v>
      </c>
      <c r="D5" s="18">
        <v>5507700000</v>
      </c>
      <c r="E5" s="18">
        <v>5919600000</v>
      </c>
      <c r="F5" s="6" t="s">
        <v>91</v>
      </c>
    </row>
    <row r="6" spans="1:6" x14ac:dyDescent="0.25">
      <c r="A6" t="s">
        <v>51</v>
      </c>
      <c r="B6" s="18">
        <v>1338400000</v>
      </c>
      <c r="C6" s="18">
        <v>-366400000</v>
      </c>
      <c r="D6" s="18">
        <v>-436600000</v>
      </c>
      <c r="E6" s="18">
        <v>359600000</v>
      </c>
      <c r="F6" s="6" t="s">
        <v>92</v>
      </c>
    </row>
    <row r="7" spans="1:6" x14ac:dyDescent="0.25">
      <c r="A7" t="s">
        <v>93</v>
      </c>
      <c r="B7" s="18">
        <v>1290600000</v>
      </c>
      <c r="C7" s="18">
        <v>1356900000</v>
      </c>
      <c r="D7" s="18">
        <v>1397700000</v>
      </c>
      <c r="E7" s="18">
        <v>1392300000</v>
      </c>
      <c r="F7" s="6" t="s">
        <v>94</v>
      </c>
    </row>
    <row r="8" spans="1:6" x14ac:dyDescent="0.25">
      <c r="A8" t="s">
        <v>95</v>
      </c>
      <c r="B8" s="18">
        <v>358600000</v>
      </c>
      <c r="C8" s="18">
        <v>291600000</v>
      </c>
      <c r="D8" s="18">
        <v>350200000</v>
      </c>
      <c r="E8" s="18">
        <v>217300000</v>
      </c>
      <c r="F8" s="6" t="s">
        <v>96</v>
      </c>
    </row>
    <row r="9" spans="1:6" x14ac:dyDescent="0.25">
      <c r="A9" t="s">
        <v>97</v>
      </c>
      <c r="B9" s="18">
        <v>1108300000</v>
      </c>
      <c r="C9" s="18">
        <v>-129100000</v>
      </c>
      <c r="D9" s="18">
        <v>-57800000</v>
      </c>
      <c r="E9" s="18">
        <v>649800000</v>
      </c>
      <c r="F9" s="6" t="s">
        <v>98</v>
      </c>
    </row>
    <row r="10" spans="1:6" x14ac:dyDescent="0.25">
      <c r="A10" t="s">
        <v>99</v>
      </c>
      <c r="B10" s="18">
        <v>4790300000</v>
      </c>
      <c r="C10" s="18">
        <v>4343100000</v>
      </c>
      <c r="D10" s="18">
        <v>4401300000</v>
      </c>
      <c r="E10" s="18">
        <v>4737500000</v>
      </c>
      <c r="F10" s="6" t="s">
        <v>100</v>
      </c>
    </row>
    <row r="11" spans="1:6" x14ac:dyDescent="0.25">
      <c r="A11" t="s">
        <v>101</v>
      </c>
      <c r="B11" s="18">
        <v>2638800000</v>
      </c>
      <c r="C11" s="18">
        <v>948300000</v>
      </c>
      <c r="D11" s="18">
        <v>950800000</v>
      </c>
      <c r="E11" s="18">
        <v>911000000</v>
      </c>
      <c r="F11" s="6" t="s">
        <v>102</v>
      </c>
    </row>
    <row r="12" spans="1:6" x14ac:dyDescent="0.25">
      <c r="A12" t="s">
        <v>34</v>
      </c>
      <c r="B12" s="34">
        <v>869700000</v>
      </c>
      <c r="C12" s="34">
        <v>865500000</v>
      </c>
      <c r="D12" s="34">
        <v>861300000</v>
      </c>
      <c r="E12" s="34">
        <v>851400000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