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<sst xmlns="http://schemas.openxmlformats.org/spreadsheetml/2006/main" count="113" uniqueCount="101">
  <si>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Marvell Technology, Inc. (MRVL)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</si>
  <si>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</si>
  <si>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</si>
  <si>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</si>
  <si>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</si>
  <si>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</si>
  <si>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</si>
  <si>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</si>
  <si>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</si>
  <si>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</si>
  <si>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</si>
  <si>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</si>
  <si>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</si>
  <si>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</si>
  <si>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</si>
  <si>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</si>
  <si>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</si>
  <si>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</si>
  <si>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</si>
  <si>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</si>
  <si>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</si>
  <si>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</si>
  <si>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</si>
  <si>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</si>
  <si>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</si>
  <si>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</si>
  <si>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</si>
  <si>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</si>
  <si>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</si>
  <si>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</si>
  <si>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</si>
  <si>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</si>
  <si>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</si>
  <si>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</si>
  <si>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</si>
  <si>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</si>
  <si>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</si>
  <si>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</si>
  <si>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</si>
  <si>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</si>
  <si>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</si>
  <si>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</si>
  <si>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</si>
  <si>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</si>
  <si>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</si>
  <si>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</si>
  <si>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</si>
  <si>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</si>
  <si>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</si>
  <si>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</si>
  <si>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</si>
  <si>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</si>
  <si>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</si>
  <si>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</si>
  <si>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</si>
  <si>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</si>
  <si>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</si>
  <si>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</si>
  <si>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</si>
  <si>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</si>
  <si>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</si>
  <si>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</si>
  <si>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</si>
  <si>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</si>
  <si>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</si>
  <si>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</si>
  <si>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</si>
  <si>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</si>
  <si>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</si>
  <si>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</si>
  <si>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</si>
  <si>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</si>
  <si>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</si>
  <si>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</si>
  <si>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</si>
  <si>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</si>
  <si>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</si>
  <si>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</si>
  <si>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</si>
  <si>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</si>
  <si>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</si>
  <si>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</si>
  <si>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</si>
  <si>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</si>
  <si>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</si>
  <si>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</si>
  <si>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</si>
  <si>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</si>
  <si>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</si>
  <si>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</si>
  <si>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</si>
  <si>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</si>
  <si>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</si>
  <si>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</si>
  <si>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</si>
  <si>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</si>
  <si>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</si>
  <si>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</si>
  <si>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5.9%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</si>
  <si>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84.3x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</si>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</sst>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0.11449587642355707</v>
      </c>
    </row>
    <row r="7" spans="1:2" x14ac:dyDescent="0.25">
      <c r="A7" t="s">
        <v>5</v>
      </c>
      <c r="B7" s="6">
        <v>0.020318245731567236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0.2204355982013853</v>
      </c>
    </row>
    <row r="10" spans="1:2" x14ac:dyDescent="0.25">
      <c r="A10" t="s">
        <v>8</v>
      </c>
      <c r="B10" s="6">
        <v>0.04865342943668532</v>
      </c>
    </row>
    <row r="11" spans="1:2" x14ac:dyDescent="0.25">
      <c r="A11" t="s">
        <v>9</v>
      </c>
      <c r="B11" s="6">
        <v>0.14032532168001943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0.14876816411601984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1.8395100000000002</v>
      </c>
      <c r="C19" s="8" t="s">
        <v>19</v>
      </c>
    </row>
    <row r="20" spans="1:2" x14ac:dyDescent="0.25">
      <c r="A20" t="s">
        <v>20</v>
      </c>
      <c r="B20" s="10">
        <f>B17+B19*B18</f>
        <v>0.15115305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219508604928</v>
      </c>
    </row>
    <row r="23" spans="1:2" x14ac:dyDescent="0.25">
      <c r="A23" t="s">
        <v>24</v>
      </c>
      <c r="B23" s="11">
        <v>4790300000</v>
      </c>
    </row>
    <row r="24" spans="1:2" x14ac:dyDescent="0.25">
      <c r="A24" t="s">
        <v>25</v>
      </c>
      <c r="B24" s="10">
        <f>B22/(B22+B23)</f>
        <v>0.9786432305519384</v>
      </c>
    </row>
    <row r="25" spans="1:2" x14ac:dyDescent="0.25">
      <c r="A25" t="s">
        <v>26</v>
      </c>
      <c r="B25" s="10">
        <f>1-B24</f>
        <v>0.02135676944806164</v>
      </c>
    </row>
    <row r="26" spans="1:2" x14ac:dyDescent="0.25">
      <c r="A26" t="s">
        <v>27</v>
      </c>
      <c r="B26" s="12">
        <f>B24*B20+B25*B21*(1-B8)</f>
        <v>0.14876816411601984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8194600000</v>
      </c>
      <c r="C29" s="8" t="s">
        <v>30</v>
      </c>
    </row>
    <row r="30" spans="1:2" x14ac:dyDescent="0.25">
      <c r="A30" t="s">
        <v>31</v>
      </c>
      <c r="B30" s="11">
        <v>2151500000</v>
      </c>
    </row>
    <row r="31" spans="1:2" x14ac:dyDescent="0.25">
      <c r="A31" t="s">
        <v>32</v>
      </c>
      <c r="B31" s="13">
        <v>869700000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0.11449587642355707</v>
      </c>
      <c r="C5" s="10">
        <f>Assumptions!B6</f>
        <v>0.11449587642355707</v>
      </c>
      <c r="D5" s="10">
        <f>Assumptions!B6</f>
        <v>0.11449587642355707</v>
      </c>
      <c r="E5" s="10">
        <f>Assumptions!B6</f>
        <v>0.11449587642355707</v>
      </c>
      <c r="F5" s="10">
        <f>Assumptions!B6</f>
        <v>0.11449587642355707</v>
      </c>
    </row>
    <row r="6" spans="1:6" x14ac:dyDescent="0.25">
      <c r="A6" t="s">
        <v>43</v>
      </c>
      <c r="B6" s="18">
        <f>Assumptions!B29*(1+B5)</f>
        <v>9132847908.940481</v>
      </c>
      <c r="C6" s="18">
        <f>B6*(1+C5)</f>
        <v>10178521334.517672</v>
      </c>
      <c r="D6" s="18">
        <f>C6*(1+D5)</f>
        <v>11343920055.409145</v>
      </c>
      <c r="E6" s="18">
        <f>D6*(1+E5)</f>
        <v>12642752124.231981</v>
      </c>
      <c r="F6" s="18">
        <f>E6*(1+F5)</f>
        <v>14090295109.10171</v>
      </c>
    </row>
    <row r="7" spans="1:6" x14ac:dyDescent="0.25">
      <c r="A7" t="s">
        <v>5</v>
      </c>
      <c r="B7" s="10">
        <f>Assumptions!B7</f>
        <v>0.020318245731567236</v>
      </c>
      <c r="C7" s="10">
        <f>Assumptions!B7</f>
        <v>0.020318245731567236</v>
      </c>
      <c r="D7" s="10">
        <f>Assumptions!B7</f>
        <v>0.020318245731567236</v>
      </c>
      <c r="E7" s="10">
        <f>Assumptions!B7</f>
        <v>0.020318245731567236</v>
      </c>
      <c r="F7" s="10">
        <f>Assumptions!B7</f>
        <v>0.020318245731567236</v>
      </c>
    </row>
    <row r="8" spans="1:6" x14ac:dyDescent="0.25">
      <c r="A8" t="s">
        <v>44</v>
      </c>
      <c r="B8" s="18">
        <f>B6*B7</f>
        <v>185563448.04288268</v>
      </c>
      <c r="C8" s="18">
        <f>C6*C7</f>
        <v>206809697.65872973</v>
      </c>
      <c r="D8" s="18">
        <f>D6*D7</f>
        <v>230488555.24505684</v>
      </c>
      <c r="E8" s="18">
        <f>E6*E7</f>
        <v>256878544.38343906</v>
      </c>
      <c r="F8" s="18">
        <f>F6*F7</f>
        <v>286290078.4570285</v>
      </c>
    </row>
    <row r="9" spans="1:6" x14ac:dyDescent="0.25">
      <c r="A9" t="s">
        <v>45</v>
      </c>
      <c r="B9" s="18">
        <f>B8*(1-Assumptions!B8)</f>
        <v>146595123.95387733</v>
      </c>
      <c r="C9" s="18">
        <f>C8*(1-Assumptions!B8)</f>
        <v>163379661.1503965</v>
      </c>
      <c r="D9" s="18">
        <f>D8*(1-Assumptions!B8)</f>
        <v>182085958.64359492</v>
      </c>
      <c r="E9" s="18">
        <f>E8*(1-Assumptions!B8)</f>
        <v>202934050.06291687</v>
      </c>
      <c r="F9" s="18">
        <f>F8*(1-Assumptions!B8)</f>
        <v>226169161.98105252</v>
      </c>
    </row>
    <row r="10" spans="1:6" x14ac:dyDescent="0.25">
      <c r="A10" t="s">
        <v>46</v>
      </c>
      <c r="B10" s="18">
        <f>B6*Assumptions!B9</f>
        <v>2013204792.089566</v>
      </c>
      <c r="C10" s="18">
        <f>C6*Assumptions!B9</f>
        <v>2243708439.1799655</v>
      </c>
      <c r="D10" s="18">
        <f>D6*Assumptions!B9</f>
        <v>2500603803.362807</v>
      </c>
      <c r="E10" s="18">
        <f>E6*Assumptions!B9</f>
        <v>2786912627.4169116</v>
      </c>
      <c r="F10" s="18">
        <f>F6*Assumptions!B9</f>
        <v>3106002631.208889</v>
      </c>
    </row>
    <row r="11" spans="1:6" x14ac:dyDescent="0.25">
      <c r="A11" t="s">
        <v>47</v>
      </c>
      <c r="B11" s="18">
        <f>-B6*Assumptions!B10</f>
        <v>-444344371.29361475</v>
      </c>
      <c r="C11" s="18">
        <f>-C6*Assumptions!B10</f>
        <v>-495219969.5187516</v>
      </c>
      <c r="D11" s="18">
        <f>-D6*Assumptions!B10</f>
        <v>-551920613.9512483</v>
      </c>
      <c r="E11" s="18">
        <f>-E6*Assumptions!B10</f>
        <v>-615113248.3618242</v>
      </c>
      <c r="F11" s="18">
        <f>-F6*Assumptions!B10</f>
        <v>-685541178.8327522</v>
      </c>
    </row>
    <row r="12" spans="1:6" x14ac:dyDescent="0.25">
      <c r="A12" t="s">
        <v>48</v>
      </c>
      <c r="B12" s="18">
        <f>-(B6-Assumptions!B29)*Assumptions!B11</f>
        <v>-131659939.63767861</v>
      </c>
      <c r="C12" s="18">
        <f>-(C6-B6)*Assumptions!B11</f>
        <v>-146734459.8163671</v>
      </c>
      <c r="D12" s="18">
        <f>-(D6-C6)*Assumptions!B11</f>
        <v>-163534950.39457923</v>
      </c>
      <c r="E12" s="18">
        <f>-(E6-D6)*Assumptions!B11</f>
        <v>-182259027.86588958</v>
      </c>
      <c r="F12" s="18">
        <f>-(F6-E6)*Assumptions!B11</f>
        <v>-203126934.9975001</v>
      </c>
    </row>
    <row r="13" spans="1:6" x14ac:dyDescent="0.25">
      <c r="A13" s="19" t="s">
        <v>49</v>
      </c>
      <c r="B13" s="20">
        <f>B9+B10+B11+B12</f>
        <v>1583795605.1121497</v>
      </c>
      <c r="C13" s="20">
        <f>C9+C10+C11+C12</f>
        <v>1765133670.995243</v>
      </c>
      <c r="D13" s="20">
        <f>D9+D10+D11+D12</f>
        <v>1967234197.6605742</v>
      </c>
      <c r="E13" s="20">
        <f>E9+E10+E11+E12</f>
        <v>2192474401.252115</v>
      </c>
      <c r="F13" s="20">
        <f>F9+F10+F11+F12</f>
        <v>2443503679.359689</v>
      </c>
    </row>
    <row r="14" spans="1:6" x14ac:dyDescent="0.25">
      <c r="A14" t="s">
        <v>50</v>
      </c>
      <c r="B14" s="21">
        <f>1/(1+Assumptions!$B$26)^(1-0.5*Assumptions!$B$32)</f>
        <v>0.9330046415168829</v>
      </c>
      <c r="C14" s="21">
        <f>1/(1+Assumptions!$B$26)^(2-0.5*Assumptions!$B$32)</f>
        <v>0.8121783582284701</v>
      </c>
      <c r="D14" s="21">
        <f>1/(1+Assumptions!$B$26)^(3-0.5*Assumptions!$B$32)</f>
        <v>0.7069993612274619</v>
      </c>
      <c r="E14" s="21">
        <f>1/(1+Assumptions!$B$26)^(4-0.5*Assumptions!$B$32)</f>
        <v>0.6154412903420767</v>
      </c>
      <c r="F14" s="21">
        <f>1/(1+Assumptions!$B$26)^(5-0.5*Assumptions!$B$32)</f>
        <v>0.5357402037822491</v>
      </c>
    </row>
    <row r="15" spans="1:6" x14ac:dyDescent="0.25">
      <c r="A15" s="19" t="s">
        <v>51</v>
      </c>
      <c r="B15" s="20">
        <f>B13*B14</f>
        <v>1477688650.783676</v>
      </c>
      <c r="C15" s="20">
        <f>C13*C14</f>
        <v>1433603366.962709</v>
      </c>
      <c r="D15" s="20">
        <f>D13*D14</f>
        <v>1390833321.1308444</v>
      </c>
      <c r="E15" s="20">
        <f>E13*E14</f>
        <v>1349339274.5485735</v>
      </c>
      <c r="F15" s="20">
        <f>F13*F14</f>
        <v>1309083159.1228354</v>
      </c>
    </row>
    <row r="17" spans="1:2" x14ac:dyDescent="0.25">
      <c r="A17" s="22" t="s">
        <v>52</v>
      </c>
      <c r="B17" s="23">
        <f>SUM(B15:F15)</f>
        <v>6960547772.548637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2443503679.359689</v>
      </c>
    </row>
    <row r="5" spans="1:2" x14ac:dyDescent="0.25">
      <c r="A5" t="s">
        <v>56</v>
      </c>
      <c r="B5" s="18">
        <f>IF(Assumptions!$B$33=0,B4,B4-Forecast!F11-Forecast!F10-Forecast!F12)</f>
        <v>2119885677.3483741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0.16804670642102734</v>
      </c>
    </row>
    <row r="7" spans="1:2" x14ac:dyDescent="0.25">
      <c r="A7" t="s">
        <v>58</v>
      </c>
      <c r="B7" s="18">
        <f>-MAX(Forecast!F9,0)*B6</f>
        <v>-356239806.0675029</v>
      </c>
    </row>
    <row r="8" spans="1:2" x14ac:dyDescent="0.25">
      <c r="A8" t="s">
        <v>59</v>
      </c>
      <c r="B8" s="18">
        <f>IF(OR(Assumptions!$B$33=0,Assumptions!B12&lt;=0),B5,MAX(B5+B7,0))</f>
        <v>1763645871.2808712</v>
      </c>
    </row>
    <row r="9" spans="1:2" x14ac:dyDescent="0.25">
      <c r="A9" t="s">
        <v>60</v>
      </c>
      <c r="B9" s="18">
        <f>B8*(1+Assumptions!B12)/(Assumptions!B26-Assumptions!B12)</f>
        <v>14605832048.767616</v>
      </c>
    </row>
    <row r="10" spans="1:2" x14ac:dyDescent="0.25">
      <c r="A10" t="s">
        <v>61</v>
      </c>
      <c r="B10" s="18">
        <f>B9/(1+Assumptions!B26)^(5-0.5*Assumptions!B32)</f>
        <v>7824931438.216067</v>
      </c>
    </row>
    <row r="11" spans="1:2" x14ac:dyDescent="0.25">
      <c r="A11" t="s">
        <v>62</v>
      </c>
      <c r="B11" s="18">
        <f>Forecast!B17+B10</f>
        <v>14785479210.764706</v>
      </c>
    </row>
    <row r="12" spans="1:2" x14ac:dyDescent="0.25">
      <c r="A12" t="s">
        <v>63</v>
      </c>
      <c r="B12" s="18">
        <f>-Assumptions!B30</f>
        <v>-2151500000</v>
      </c>
    </row>
    <row r="13" spans="1:2" x14ac:dyDescent="0.25">
      <c r="A13" t="s">
        <v>64</v>
      </c>
      <c r="B13" s="18">
        <f>B11+B12</f>
        <v>12633979210.764706</v>
      </c>
    </row>
    <row r="14" spans="1:2" x14ac:dyDescent="0.25">
      <c r="A14" s="19" t="s">
        <v>65</v>
      </c>
      <c r="B14" s="24">
        <f>B13/Assumptions!B31</f>
        <v>14.526824434592049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3392292709.6659174</v>
      </c>
    </row>
    <row r="18" spans="1:2" x14ac:dyDescent="0.25">
      <c r="A18" t="s">
        <v>60</v>
      </c>
      <c r="B18" s="18">
        <f>B17*Assumptions!B13</f>
        <v>67845854193.318344</v>
      </c>
    </row>
    <row r="19" spans="1:2" x14ac:dyDescent="0.25">
      <c r="A19" t="s">
        <v>61</v>
      </c>
      <c r="B19" s="18">
        <f>B18/(1+Assumptions!B26)^(5-0.5*Assumptions!B32)</f>
        <v>36347751751.30913</v>
      </c>
    </row>
    <row r="20" spans="1:2" x14ac:dyDescent="0.25">
      <c r="A20" t="s">
        <v>62</v>
      </c>
      <c r="B20" s="18">
        <f>Forecast!B17+B19</f>
        <v>43308299523.857765</v>
      </c>
    </row>
    <row r="21" spans="1:2" x14ac:dyDescent="0.25">
      <c r="A21" t="s">
        <v>63</v>
      </c>
      <c r="B21" s="18">
        <f>-Assumptions!B30</f>
        <v>-2151500000</v>
      </c>
    </row>
    <row r="22" spans="1:2" x14ac:dyDescent="0.25">
      <c r="A22" t="s">
        <v>64</v>
      </c>
      <c r="B22" s="18">
        <f>B20+B21</f>
        <v>41156799523.857765</v>
      </c>
    </row>
    <row r="23" spans="1:2" x14ac:dyDescent="0.25">
      <c r="A23" s="19" t="s">
        <v>65</v>
      </c>
      <c r="B23" s="25">
        <f>B22/Assumptions!B31</f>
        <v>47.322984389856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244.25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14.526824434592049</v>
      </c>
    </row>
    <row r="29" spans="1:2" x14ac:dyDescent="0.25">
      <c r="A29" s="19" t="s">
        <v>73</v>
      </c>
      <c r="B29" s="12">
        <f>B28/B26-1</f>
        <v>-0.9405247720180469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0.128768</v>
      </c>
      <c r="B5" s="31">
        <v>17.02234685911578</v>
      </c>
      <c r="C5" s="31">
        <v>17.077223045754668</v>
      </c>
      <c r="D5" s="31">
        <v>17.132099232393553</v>
      </c>
      <c r="E5" s="31">
        <v>17.186975419032436</v>
      </c>
      <c r="F5" s="31">
        <v>17.241851605671325</v>
      </c>
    </row>
    <row r="6" spans="1:6" x14ac:dyDescent="0.25">
      <c r="A6" s="30">
        <v>0.138768</v>
      </c>
      <c r="B6" s="31">
        <v>15.637550904127187</v>
      </c>
      <c r="C6" s="31">
        <v>15.686491020705793</v>
      </c>
      <c r="D6" s="31">
        <v>15.735431137284394</v>
      </c>
      <c r="E6" s="31">
        <v>15.784371253863</v>
      </c>
      <c r="F6" s="31">
        <v>15.833311370441603</v>
      </c>
    </row>
    <row r="7" spans="1:6" x14ac:dyDescent="0.25">
      <c r="A7" s="30">
        <v>0.148768</v>
      </c>
      <c r="B7" s="31">
        <v>14.439064472193301</v>
      </c>
      <c r="C7" s="31">
        <v>14.482953702855623</v>
      </c>
      <c r="D7" s="32">
        <v>14.526842933517942</v>
      </c>
      <c r="E7" s="31">
        <v>14.570732164180265</v>
      </c>
      <c r="F7" s="31">
        <v>14.614621394842581</v>
      </c>
    </row>
    <row r="8" spans="1:6" x14ac:dyDescent="0.25">
      <c r="A8" s="30">
        <v>0.158768</v>
      </c>
      <c r="B8" s="31">
        <v>13.391702221954533</v>
      </c>
      <c r="C8" s="31">
        <v>13.431253978921529</v>
      </c>
      <c r="D8" s="31">
        <v>13.470805735888526</v>
      </c>
      <c r="E8" s="31">
        <v>13.510357492855519</v>
      </c>
      <c r="F8" s="31">
        <v>13.549909249822516</v>
      </c>
    </row>
    <row r="9" spans="1:6" x14ac:dyDescent="0.25">
      <c r="A9" s="30">
        <v>0.168768</v>
      </c>
      <c r="B9" s="31">
        <v>12.468615880968205</v>
      </c>
      <c r="C9" s="31">
        <v>12.50441278481535</v>
      </c>
      <c r="D9" s="31">
        <v>12.540209688662499</v>
      </c>
      <c r="E9" s="31">
        <v>12.576006592509644</v>
      </c>
      <c r="F9" s="31">
        <v>12.611803496356792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8194600000</v>
      </c>
      <c r="C5" s="18">
        <v>5767300000</v>
      </c>
      <c r="D5" s="18">
        <v>5507700000</v>
      </c>
      <c r="E5" s="18">
        <v>5919600000</v>
      </c>
      <c r="F5" s="8" t="s">
        <v>84</v>
      </c>
    </row>
    <row r="6" spans="1:6" x14ac:dyDescent="0.25">
      <c r="A6" t="s">
        <v>44</v>
      </c>
      <c r="B6" s="18">
        <v>1338400000</v>
      </c>
      <c r="C6" s="18">
        <v>-366400000</v>
      </c>
      <c r="D6" s="18">
        <v>-436600000</v>
      </c>
      <c r="E6" s="18">
        <v>359600000</v>
      </c>
      <c r="F6" s="8" t="s">
        <v>85</v>
      </c>
    </row>
    <row r="7" spans="1:6" x14ac:dyDescent="0.25">
      <c r="A7" t="s">
        <v>86</v>
      </c>
      <c r="B7" s="18">
        <v>1290600000</v>
      </c>
      <c r="C7" s="18">
        <v>1356900000</v>
      </c>
      <c r="D7" s="18">
        <v>1397700000</v>
      </c>
      <c r="E7" s="18">
        <v>1392300000</v>
      </c>
      <c r="F7" s="8" t="s">
        <v>87</v>
      </c>
    </row>
    <row r="8" spans="1:6" x14ac:dyDescent="0.25">
      <c r="A8" t="s">
        <v>88</v>
      </c>
      <c r="B8" s="18">
        <v>358600000</v>
      </c>
      <c r="C8" s="18">
        <v>291600000</v>
      </c>
      <c r="D8" s="18">
        <v>350200000</v>
      </c>
      <c r="E8" s="18">
        <v>217300000</v>
      </c>
      <c r="F8" s="8" t="s">
        <v>89</v>
      </c>
    </row>
    <row r="9" spans="1:6" x14ac:dyDescent="0.25">
      <c r="A9" t="s">
        <v>90</v>
      </c>
      <c r="B9" s="18">
        <v>1108300000</v>
      </c>
      <c r="C9" s="18">
        <v>-129100000</v>
      </c>
      <c r="D9" s="18">
        <v>-57800000</v>
      </c>
      <c r="E9" s="18">
        <v>649800000</v>
      </c>
      <c r="F9" s="8" t="s">
        <v>91</v>
      </c>
    </row>
    <row r="10" spans="1:6" x14ac:dyDescent="0.25">
      <c r="A10" t="s">
        <v>92</v>
      </c>
      <c r="B10" s="18">
        <v>4790300000</v>
      </c>
      <c r="C10" s="18">
        <v>4343100000</v>
      </c>
      <c r="D10" s="18">
        <v>4401300000</v>
      </c>
      <c r="E10" s="18">
        <v>4737500000</v>
      </c>
      <c r="F10" s="8" t="s">
        <v>93</v>
      </c>
    </row>
    <row r="11" spans="1:6" x14ac:dyDescent="0.25">
      <c r="A11" t="s">
        <v>94</v>
      </c>
      <c r="B11" s="18">
        <v>2638800000</v>
      </c>
      <c r="C11" s="18">
        <v>948300000</v>
      </c>
      <c r="D11" s="18">
        <v>950800000</v>
      </c>
      <c r="E11" s="18">
        <v>911000000</v>
      </c>
      <c r="F11" s="8" t="s">
        <v>95</v>
      </c>
    </row>
    <row r="12" spans="1:6" x14ac:dyDescent="0.25">
      <c r="A12" t="s">
        <v>32</v>
      </c>
      <c r="B12" s="34">
        <v>869700000</v>
      </c>
      <c r="C12" s="34">
        <v>865500000</v>
      </c>
      <c r="D12" s="34">
        <v>861300000</v>
      </c>
      <c r="E12" s="34">
        <v>851400000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2026-09-19T00:07:04Z</dcterms:modified>
</cp:coreProperties>
</file>