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<sst xmlns="http://schemas.openxmlformats.org/spreadsheetml/2006/main" count="113" uniqueCount="101">
  <si>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Morgan Stanley (MS)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</si>
  <si>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</si>
  <si>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</si>
  <si>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</si>
  <si>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</si>
  <si>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</si>
  <si>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</si>
  <si>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</si>
  <si>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</si>
  <si>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</si>
  <si>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</si>
  <si>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</si>
  <si>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</si>
  <si>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</si>
  <si>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</si>
  <si>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</si>
  <si>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</si>
  <si>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</si>
  <si>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</si>
  <si>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</si>
  <si>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</si>
  <si>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</si>
  <si>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14.4%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</si>
  <si>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</si>
  <si>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</si>
  <si>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</si>
  <si>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</si>
  <si>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</si>
  <si>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</si>
  <si>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</si>
  <si>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</si>
  <si>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</si>
  <si>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</si>
  <si>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</si>
  <si>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</si>
  <si>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</si>
  <si>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</si>
  <si>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</si>
  <si>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</si>
  <si>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</si>
  <si>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</si>
  <si>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</si>
  <si>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</si>
  <si>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</si>
  <si>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</si>
  <si>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</si>
  <si>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</si>
  <si>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</si>
  <si>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</si>
  <si>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</si>
  <si>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</si>
  <si>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</si>
  <si>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</si>
  <si>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</si>
  <si>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</si>
  <si>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</si>
  <si>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</si>
  <si>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</si>
  <si>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</si>
  <si>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</si>
  <si>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</si>
  <si>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</si>
  <si>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</si>
  <si>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</si>
  <si>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</si>
  <si>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</si>
  <si>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</si>
  <si>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</si>
  <si>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</si>
  <si>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</si>
  <si>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</si>
  <si>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</si>
  <si>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</si>
  <si>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</si>
  <si>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</si>
  <si>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</si>
  <si>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</si>
  <si>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</si>
  <si>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</si>
  <si>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</si>
  <si>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</si>
  <si>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</si>
  <si>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</si>
  <si>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</si>
  <si>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</si>
  <si>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</si>
  <si>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</si>
  <si>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</si>
  <si>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</si>
  <si>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</si>
  <si>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</si>
  <si>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</si>
  <si>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</si>
  <si>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</si>
  <si>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</si>
  <si>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</si>
  <si>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</si>
  <si>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</si>
  <si>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</si>
  <si>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22.8x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</si>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</sst>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0.09524171431647233</v>
      </c>
    </row>
    <row r="7" spans="1:2" x14ac:dyDescent="0.25">
      <c r="A7" t="s">
        <v>5</v>
      </c>
      <c r="B7" s="6">
        <v>0.28798346059011704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0.08095129823013911</v>
      </c>
    </row>
    <row r="10" spans="1:2" x14ac:dyDescent="0.25">
      <c r="A10" t="s">
        <v>8</v>
      </c>
      <c r="B10" s="6">
        <v>0.0581645439201013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0.08176647287837197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1.13869</v>
      </c>
      <c r="C19" s="8" t="s">
        <v>19</v>
      </c>
    </row>
    <row r="20" spans="1:2" x14ac:dyDescent="0.25">
      <c r="A20" t="s">
        <v>20</v>
      </c>
      <c r="B20" s="10">
        <f>B17+B19*B18</f>
        <v>0.11260795000000001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318165319680</v>
      </c>
    </row>
    <row r="23" spans="1:2" x14ac:dyDescent="0.25">
      <c r="A23" t="s">
        <v>24</v>
      </c>
      <c r="B23" s="11">
        <v>370538000000</v>
      </c>
    </row>
    <row r="24" spans="1:2" x14ac:dyDescent="0.25">
      <c r="A24" t="s">
        <v>25</v>
      </c>
      <c r="B24" s="10">
        <f>B22/(B22+B23)</f>
        <v>0.4619773283913206</v>
      </c>
    </row>
    <row r="25" spans="1:2" x14ac:dyDescent="0.25">
      <c r="A25" t="s">
        <v>26</v>
      </c>
      <c r="B25" s="10">
        <f>1-B24</f>
        <v>0.5380226716086793</v>
      </c>
    </row>
    <row r="26" spans="1:2" x14ac:dyDescent="0.25">
      <c r="A26" t="s">
        <v>27</v>
      </c>
      <c r="B26" s="12">
        <f>B24*B20+B25*B21*(1-B8)</f>
        <v>0.08176647287837197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65966000000</v>
      </c>
      <c r="C29" s="8" t="s">
        <v>30</v>
      </c>
    </row>
    <row r="30" spans="1:2" x14ac:dyDescent="0.25">
      <c r="A30" t="s">
        <v>31</v>
      </c>
      <c r="B30" s="11">
        <v>289228000000</v>
      </c>
    </row>
    <row r="31" spans="1:2" x14ac:dyDescent="0.25">
      <c r="A31" t="s">
        <v>32</v>
      </c>
      <c r="B31" s="13">
        <v>1592000000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0.09524171431647233</v>
      </c>
      <c r="C5" s="10">
        <f>Assumptions!B6</f>
        <v>0.09524171431647233</v>
      </c>
      <c r="D5" s="10">
        <f>Assumptions!B6</f>
        <v>0.09524171431647233</v>
      </c>
      <c r="E5" s="10">
        <f>Assumptions!B6</f>
        <v>0.09524171431647233</v>
      </c>
      <c r="F5" s="10">
        <f>Assumptions!B6</f>
        <v>0.09524171431647233</v>
      </c>
    </row>
    <row r="6" spans="1:6" x14ac:dyDescent="0.25">
      <c r="A6" t="s">
        <v>43</v>
      </c>
      <c r="B6" s="18">
        <f>Assumptions!B29*(1+B5)</f>
        <v>72248714926.60042</v>
      </c>
      <c r="C6" s="18">
        <f>B6*(1+C5)</f>
        <v>79129806393.37195</v>
      </c>
      <c r="D6" s="18">
        <f>C6*(1+D5)</f>
        <v>86666264807.80725</v>
      </c>
      <c r="E6" s="18">
        <f>D6*(1+E5)</f>
        <v>94920508441.50816</v>
      </c>
      <c r="F6" s="18">
        <f>E6*(1+F5)</f>
        <v>103960900389.26859</v>
      </c>
    </row>
    <row r="7" spans="1:6" x14ac:dyDescent="0.25">
      <c r="A7" t="s">
        <v>5</v>
      </c>
      <c r="B7" s="10">
        <f>Assumptions!B7</f>
        <v>0.28798346059011704</v>
      </c>
      <c r="C7" s="10">
        <f>Assumptions!B7</f>
        <v>0.28798346059011704</v>
      </c>
      <c r="D7" s="10">
        <f>Assumptions!B7</f>
        <v>0.28798346059011704</v>
      </c>
      <c r="E7" s="10">
        <f>Assumptions!B7</f>
        <v>0.28798346059011704</v>
      </c>
      <c r="F7" s="10">
        <f>Assumptions!B7</f>
        <v>0.28798346059011704</v>
      </c>
    </row>
    <row r="8" spans="1:6" x14ac:dyDescent="0.25">
      <c r="A8" t="s">
        <v>44</v>
      </c>
      <c r="B8" s="18">
        <f>B6*B7</f>
        <v>20806434947.751232</v>
      </c>
      <c r="C8" s="18">
        <f>C6*C7</f>
        <v>22788075480.98922</v>
      </c>
      <c r="D8" s="18">
        <f>D6*D7</f>
        <v>24958450855.771805</v>
      </c>
      <c r="E8" s="18">
        <f>E6*E7</f>
        <v>27335536501.95894</v>
      </c>
      <c r="F8" s="18">
        <f>F6*F7</f>
        <v>29939019860.16601</v>
      </c>
    </row>
    <row r="9" spans="1:6" x14ac:dyDescent="0.25">
      <c r="A9" t="s">
        <v>45</v>
      </c>
      <c r="B9" s="18">
        <f>B8*(1-Assumptions!B8)</f>
        <v>16437083608.723475</v>
      </c>
      <c r="C9" s="18">
        <f>C8*(1-Assumptions!B8)</f>
        <v>18002579629.981483</v>
      </c>
      <c r="D9" s="18">
        <f>D8*(1-Assumptions!B8)</f>
        <v>19717176176.059727</v>
      </c>
      <c r="E9" s="18">
        <f>E8*(1-Assumptions!B8)</f>
        <v>21595073836.54756</v>
      </c>
      <c r="F9" s="18">
        <f>F8*(1-Assumptions!B8)</f>
        <v>23651825689.53115</v>
      </c>
    </row>
    <row r="10" spans="1:6" x14ac:dyDescent="0.25">
      <c r="A10" t="s">
        <v>46</v>
      </c>
      <c r="B10" s="18">
        <f>B6*Assumptions!B9</f>
        <v>5848627268.767533</v>
      </c>
      <c r="C10" s="18">
        <f>C6*Assumptions!B9</f>
        <v>6405660556.243021</v>
      </c>
      <c r="D10" s="18">
        <f>D6*Assumptions!B9</f>
        <v>7015746648.949015</v>
      </c>
      <c r="E10" s="18">
        <f>E6*Assumptions!B9</f>
        <v>7683938387.004964</v>
      </c>
      <c r="F10" s="18">
        <f>F6*Assumptions!B9</f>
        <v>8415769851.685466</v>
      </c>
    </row>
    <row r="11" spans="1:6" x14ac:dyDescent="0.25">
      <c r="A11" t="s">
        <v>47</v>
      </c>
      <c r="B11" s="18">
        <f>-B6*Assumptions!B10</f>
        <v>-4202313552.5191283</v>
      </c>
      <c r="C11" s="18">
        <f>-C6*Assumptions!B10</f>
        <v>-4602549099.356396</v>
      </c>
      <c r="D11" s="18">
        <f>-D6*Assumptions!B10</f>
        <v>-5040903765.804834</v>
      </c>
      <c r="E11" s="18">
        <f>-E6*Assumptions!B10</f>
        <v>-5521008082.164448</v>
      </c>
      <c r="F11" s="18">
        <f>-F6*Assumptions!B10</f>
        <v>-6046838356.664889</v>
      </c>
    </row>
    <row r="12" spans="1:6" x14ac:dyDescent="0.25">
      <c r="A12" t="s">
        <v>48</v>
      </c>
      <c r="B12" s="18">
        <f>-(B6-Assumptions!B29)*Assumptions!B11</f>
        <v>-6282714926.600418</v>
      </c>
      <c r="C12" s="18">
        <f>-(C6-B6)*Assumptions!B11</f>
        <v>-6881091466.77153</v>
      </c>
      <c r="D12" s="18">
        <f>-(D6-C6)*Assumptions!B11</f>
        <v>-7536458414.435303</v>
      </c>
      <c r="E12" s="18">
        <f>-(E6-D6)*Assumptions!B11</f>
        <v>-8254243633.700912</v>
      </c>
      <c r="F12" s="18">
        <f>-(F6-E6)*Assumptions!B11</f>
        <v>-9040391947.760422</v>
      </c>
    </row>
    <row r="13" spans="1:6" x14ac:dyDescent="0.25">
      <c r="A13" s="19" t="s">
        <v>49</v>
      </c>
      <c r="B13" s="20">
        <f>B9+B10+B11+B12</f>
        <v>11800682398.371464</v>
      </c>
      <c r="C13" s="20">
        <f>C9+C10+C11+C12</f>
        <v>12924599620.096577</v>
      </c>
      <c r="D13" s="20">
        <f>D9+D10+D11+D12</f>
        <v>14155560644.768608</v>
      </c>
      <c r="E13" s="20">
        <f>E9+E10+E11+E12</f>
        <v>15503760507.687164</v>
      </c>
      <c r="F13" s="20">
        <f>F9+F10+F11+F12</f>
        <v>16980365236.791306</v>
      </c>
    </row>
    <row r="14" spans="1:6" x14ac:dyDescent="0.25">
      <c r="A14" t="s">
        <v>50</v>
      </c>
      <c r="B14" s="21">
        <f>1/(1+Assumptions!$B$26)^(1-0.5*Assumptions!$B$32)</f>
        <v>0.9614644731878632</v>
      </c>
      <c r="C14" s="21">
        <f>1/(1+Assumptions!$B$26)^(2-0.5*Assumptions!$B$32)</f>
        <v>0.888791155293981</v>
      </c>
      <c r="D14" s="21">
        <f>1/(1+Assumptions!$B$26)^(3-0.5*Assumptions!$B$32)</f>
        <v>0.8216109276608279</v>
      </c>
      <c r="E14" s="21">
        <f>1/(1+Assumptions!$B$26)^(4-0.5*Assumptions!$B$32)</f>
        <v>0.7595085892010313</v>
      </c>
      <c r="F14" s="21">
        <f>1/(1+Assumptions!$B$26)^(5-0.5*Assumptions!$B$32)</f>
        <v>0.7021003222443429</v>
      </c>
    </row>
    <row r="15" spans="1:6" x14ac:dyDescent="0.25">
      <c r="A15" s="19" t="s">
        <v>51</v>
      </c>
      <c r="B15" s="20">
        <f>B13*B14</f>
        <v>11345936885.407509</v>
      </c>
      <c r="C15" s="20">
        <f>C13*C14</f>
        <v>11487269828.057785</v>
      </c>
      <c r="D15" s="20">
        <f>D13*D14</f>
        <v>11630363312.907442</v>
      </c>
      <c r="E15" s="20">
        <f>E13*E14</f>
        <v>11775239270.504143</v>
      </c>
      <c r="F15" s="20">
        <f>F13*F14</f>
        <v>11921919904.577814</v>
      </c>
    </row>
    <row r="17" spans="1:2" x14ac:dyDescent="0.25">
      <c r="A17" s="22" t="s">
        <v>52</v>
      </c>
      <c r="B17" s="23">
        <f>SUM(B15:F15)</f>
        <v>58160729201.45469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16980365236.791306</v>
      </c>
    </row>
    <row r="5" spans="1:2" x14ac:dyDescent="0.25">
      <c r="A5" t="s">
        <v>56</v>
      </c>
      <c r="B5" s="18">
        <f>IF(Assumptions!$B$33=0,B4,B4-Forecast!F11-Forecast!F10-Forecast!F12)</f>
        <v>23651825689.53115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0.30574878822506657</v>
      </c>
    </row>
    <row r="7" spans="1:2" x14ac:dyDescent="0.25">
      <c r="A7" t="s">
        <v>58</v>
      </c>
      <c r="B7" s="18">
        <f>-MAX(Forecast!F9,0)*B6</f>
        <v>-7231517043.884649</v>
      </c>
    </row>
    <row r="8" spans="1:2" x14ac:dyDescent="0.25">
      <c r="A8" t="s">
        <v>59</v>
      </c>
      <c r="B8" s="18">
        <f>IF(OR(Assumptions!$B$33=0,Assumptions!B12&lt;=0),B5,MAX(B5+B7,0))</f>
        <v>16420308645.646502</v>
      </c>
    </row>
    <row r="9" spans="1:2" x14ac:dyDescent="0.25">
      <c r="A9" t="s">
        <v>60</v>
      </c>
      <c r="B9" s="18">
        <f>B8*(1+Assumptions!B12)/(Assumptions!B26-Assumptions!B12)</f>
        <v>296492198799.27057</v>
      </c>
    </row>
    <row r="10" spans="1:2" x14ac:dyDescent="0.25">
      <c r="A10" t="s">
        <v>61</v>
      </c>
      <c r="B10" s="18">
        <f>B9/(1+Assumptions!B26)^(5-0.5*Assumptions!B32)</f>
        <v>208167268319.90164</v>
      </c>
    </row>
    <row r="11" spans="1:2" x14ac:dyDescent="0.25">
      <c r="A11" t="s">
        <v>62</v>
      </c>
      <c r="B11" s="18">
        <f>Forecast!B17+B10</f>
        <v>266327997521.35632</v>
      </c>
    </row>
    <row r="12" spans="1:2" x14ac:dyDescent="0.25">
      <c r="A12" t="s">
        <v>63</v>
      </c>
      <c r="B12" s="18">
        <f>-Assumptions!B30</f>
        <v>-289228000000</v>
      </c>
    </row>
    <row r="13" spans="1:2" x14ac:dyDescent="0.25">
      <c r="A13" t="s">
        <v>64</v>
      </c>
      <c r="B13" s="18">
        <f>B11+B12</f>
        <v>-22900002478.643677</v>
      </c>
    </row>
    <row r="14" spans="1:2" x14ac:dyDescent="0.25">
      <c r="A14" s="19" t="s">
        <v>65</v>
      </c>
      <c r="B14" s="24">
        <f>B13/Assumptions!B31</f>
        <v>-14.384423667489747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38354789711.85148</v>
      </c>
    </row>
    <row r="18" spans="1:2" x14ac:dyDescent="0.25">
      <c r="A18" t="s">
        <v>60</v>
      </c>
      <c r="B18" s="18">
        <f>B17*Assumptions!B13</f>
        <v>767095794237.0295</v>
      </c>
    </row>
    <row r="19" spans="1:2" x14ac:dyDescent="0.25">
      <c r="A19" t="s">
        <v>61</v>
      </c>
      <c r="B19" s="18">
        <f>B18/(1+Assumptions!B26)^(5-0.5*Assumptions!B32)</f>
        <v>538578204326.09863</v>
      </c>
    </row>
    <row r="20" spans="1:2" x14ac:dyDescent="0.25">
      <c r="A20" t="s">
        <v>62</v>
      </c>
      <c r="B20" s="18">
        <f>Forecast!B17+B19</f>
        <v>596738933527.5533</v>
      </c>
    </row>
    <row r="21" spans="1:2" x14ac:dyDescent="0.25">
      <c r="A21" t="s">
        <v>63</v>
      </c>
      <c r="B21" s="18">
        <f>-Assumptions!B30</f>
        <v>-289228000000</v>
      </c>
    </row>
    <row r="22" spans="1:2" x14ac:dyDescent="0.25">
      <c r="A22" t="s">
        <v>64</v>
      </c>
      <c r="B22" s="18">
        <f>B20+B21</f>
        <v>307510933527.55334</v>
      </c>
    </row>
    <row r="23" spans="1:2" x14ac:dyDescent="0.25">
      <c r="A23" s="19" t="s">
        <v>65</v>
      </c>
      <c r="B23" s="25">
        <f>B22/Assumptions!B31</f>
        <v>193.16013412534758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202.58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-14.384423667489747</v>
      </c>
    </row>
    <row r="29" spans="1:2" x14ac:dyDescent="0.25">
      <c r="A29" s="19" t="s">
        <v>73</v>
      </c>
      <c r="B29" s="12">
        <f>B28/B26-1</f>
        <v>-1.0710061391425103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0.061766</v>
      </c>
      <c r="B5" s="31">
        <v>43.059950938372744</v>
      </c>
      <c r="C5" s="31">
        <v>43.978309902690405</v>
      </c>
      <c r="D5" s="31">
        <v>44.896668867007996</v>
      </c>
      <c r="E5" s="31">
        <v>45.815027831325665</v>
      </c>
      <c r="F5" s="31">
        <v>46.73338679564329</v>
      </c>
    </row>
    <row r="6" spans="1:6" x14ac:dyDescent="0.25">
      <c r="A6" s="30">
        <v>0.071766</v>
      </c>
      <c r="B6" s="31">
        <v>9.549450077021804</v>
      </c>
      <c r="C6" s="31">
        <v>10.307194902605373</v>
      </c>
      <c r="D6" s="31">
        <v>11.064939728188865</v>
      </c>
      <c r="E6" s="31">
        <v>11.822684553772394</v>
      </c>
      <c r="F6" s="31">
        <v>12.580429379355925</v>
      </c>
    </row>
    <row r="7" spans="1:6" x14ac:dyDescent="0.25">
      <c r="A7" s="30">
        <v>0.081766</v>
      </c>
      <c r="B7" s="31">
        <v>-15.659070867393494</v>
      </c>
      <c r="C7" s="31">
        <v>-15.021220390291607</v>
      </c>
      <c r="D7" s="32">
        <v>-14.383369913189798</v>
      </c>
      <c r="E7" s="31">
        <v>-13.74551943608791</v>
      </c>
      <c r="F7" s="31">
        <v>-13.10766895898608</v>
      </c>
    </row>
    <row r="8" spans="1:6" x14ac:dyDescent="0.25">
      <c r="A8" s="30">
        <v>0.091766</v>
      </c>
      <c r="B8" s="31">
        <v>-35.28497742949492</v>
      </c>
      <c r="C8" s="31">
        <v>-34.7396883939301</v>
      </c>
      <c r="D8" s="31">
        <v>-34.194399358365274</v>
      </c>
      <c r="E8" s="31">
        <v>-33.64911032280049</v>
      </c>
      <c r="F8" s="31">
        <v>-33.10382128723568</v>
      </c>
    </row>
    <row r="9" spans="1:6" x14ac:dyDescent="0.25">
      <c r="A9" s="30">
        <v>0.101766</v>
      </c>
      <c r="B9" s="31">
        <v>-50.97845455812282</v>
      </c>
      <c r="C9" s="31">
        <v>-50.506514590349575</v>
      </c>
      <c r="D9" s="31">
        <v>-50.03457462257632</v>
      </c>
      <c r="E9" s="31">
        <v>-49.56263465480306</v>
      </c>
      <c r="F9" s="31">
        <v>-49.09069468702983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65966000000</v>
      </c>
      <c r="C5" s="18">
        <v>57621000000</v>
      </c>
      <c r="D5" s="18">
        <v>50667000000</v>
      </c>
      <c r="E5" s="18">
        <v>50210000000</v>
      </c>
      <c r="F5" s="8" t="s">
        <v>84</v>
      </c>
    </row>
    <row r="6" spans="1:6" x14ac:dyDescent="0.25">
      <c r="A6" t="s">
        <v>44</v>
      </c>
      <c r="B6" s="18">
        <v>21954000000</v>
      </c>
      <c r="C6" s="18">
        <v>17596000000</v>
      </c>
      <c r="D6" s="18">
        <v>11813000000</v>
      </c>
      <c r="E6" s="18">
        <v>14089000000</v>
      </c>
      <c r="F6" s="8" t="s">
        <v>85</v>
      </c>
    </row>
    <row r="7" spans="1:6" x14ac:dyDescent="0.25">
      <c r="A7" t="s">
        <v>86</v>
      </c>
      <c r="B7" s="18">
        <v>4658000000</v>
      </c>
      <c r="C7" s="18">
        <v>5161000000</v>
      </c>
      <c r="D7" s="18">
        <v>4256000000</v>
      </c>
      <c r="E7" s="18">
        <v>3998000000</v>
      </c>
      <c r="F7" s="8" t="s">
        <v>87</v>
      </c>
    </row>
    <row r="8" spans="1:6" x14ac:dyDescent="0.25">
      <c r="A8" t="s">
        <v>88</v>
      </c>
      <c r="B8" s="18">
        <v>2898000000</v>
      </c>
      <c r="C8" s="18">
        <v>3462000000</v>
      </c>
      <c r="D8" s="18">
        <v>3412000000</v>
      </c>
      <c r="E8" s="18">
        <v>3078000000</v>
      </c>
      <c r="F8" s="8" t="s">
        <v>89</v>
      </c>
    </row>
    <row r="9" spans="1:6" x14ac:dyDescent="0.25">
      <c r="A9" t="s">
        <v>90</v>
      </c>
      <c r="B9" s="18">
        <v>42816000000</v>
      </c>
      <c r="C9" s="18">
        <v>19370000000</v>
      </c>
      <c r="D9" s="18">
        <v>49108000000</v>
      </c>
      <c r="E9" s="18">
        <v>23498000000</v>
      </c>
      <c r="F9" s="8" t="s">
        <v>91</v>
      </c>
    </row>
    <row r="10" spans="1:6" x14ac:dyDescent="0.25">
      <c r="A10" t="s">
        <v>92</v>
      </c>
      <c r="B10" s="18">
        <v>370538000000</v>
      </c>
      <c r="C10" s="18">
        <v>310421000000</v>
      </c>
      <c r="D10" s="18">
        <v>276387000000</v>
      </c>
      <c r="E10" s="18">
        <v>246216000000</v>
      </c>
      <c r="F10" s="8" t="s">
        <v>93</v>
      </c>
    </row>
    <row r="11" spans="1:6" x14ac:dyDescent="0.25">
      <c r="A11" t="s">
        <v>94</v>
      </c>
      <c r="B11" s="18">
        <v>81310000000</v>
      </c>
      <c r="C11" s="18">
        <v>75743000000</v>
      </c>
      <c r="D11" s="18">
        <v>58661000000</v>
      </c>
      <c r="E11" s="18">
        <v>92747000000</v>
      </c>
      <c r="F11" s="8" t="s">
        <v>95</v>
      </c>
    </row>
    <row r="12" spans="1:6" x14ac:dyDescent="0.25">
      <c r="A12" t="s">
        <v>32</v>
      </c>
      <c r="B12" s="34">
        <v>1592000000</v>
      </c>
      <c r="C12" s="34">
        <v>1611000000</v>
      </c>
      <c r="D12" s="34">
        <v>1646000000</v>
      </c>
      <c r="E12" s="34">
        <v>1713000000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2026-09-19T00:07:03Z</dcterms:modified>
</cp:coreProperties>
</file>